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94A33215-580C-4EEC-A918-E70C31846107}" xr6:coauthVersionLast="45" xr6:coauthVersionMax="45" xr10:uidLastSave="{00000000-0000-0000-0000-000000000000}"/>
  <bookViews>
    <workbookView xWindow="-120" yWindow="-120" windowWidth="20730" windowHeight="11160" activeTab="2" xr2:uid="{20497D6A-6FC6-4272-BA95-0A5E112D5B94}"/>
  </bookViews>
  <sheets>
    <sheet name="Flujo" sheetId="4" r:id="rId1"/>
    <sheet name="Valorización" sheetId="1" r:id="rId2"/>
    <sheet name="Facturación_Fisica-Dig" sheetId="5" r:id="rId3"/>
    <sheet name="Scanner_CN" sheetId="6" r:id="rId4"/>
    <sheet name="Valores Finales a Facturar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7" l="1"/>
  <c r="J9" i="7"/>
  <c r="S46" i="4" l="1"/>
  <c r="C18" i="7" l="1"/>
  <c r="F8" i="7" l="1"/>
  <c r="B16" i="7"/>
  <c r="G9" i="7"/>
  <c r="H9" i="7" s="1"/>
  <c r="F7" i="7"/>
  <c r="C13" i="7"/>
  <c r="C11" i="7"/>
  <c r="F6" i="7"/>
  <c r="E11" i="6"/>
  <c r="B11" i="6" l="1"/>
  <c r="D21" i="6"/>
  <c r="F21" i="6" l="1"/>
  <c r="H21" i="6" s="1"/>
  <c r="I21" i="6" s="1"/>
  <c r="J21" i="6" s="1"/>
  <c r="K21" i="6" s="1"/>
  <c r="L21" i="6" s="1"/>
  <c r="H18" i="6"/>
  <c r="I18" i="6" s="1"/>
  <c r="J18" i="6" s="1"/>
  <c r="K18" i="6" s="1"/>
  <c r="L18" i="6" s="1"/>
  <c r="F18" i="6"/>
  <c r="F11" i="6"/>
  <c r="H11" i="6" s="1"/>
  <c r="I11" i="6" s="1"/>
  <c r="J11" i="6" s="1"/>
  <c r="K11" i="6" s="1"/>
  <c r="L11" i="6" s="1"/>
  <c r="F10" i="6"/>
  <c r="H10" i="6" s="1"/>
  <c r="I10" i="6" s="1"/>
  <c r="J10" i="6" s="1"/>
  <c r="K10" i="6" s="1"/>
  <c r="L10" i="6" s="1"/>
  <c r="E7" i="6"/>
  <c r="G7" i="7" s="1"/>
  <c r="B13" i="6"/>
  <c r="D9" i="6" s="1"/>
  <c r="D15" i="6" s="1"/>
  <c r="F15" i="6" s="1"/>
  <c r="H15" i="6" s="1"/>
  <c r="I15" i="6" s="1"/>
  <c r="J15" i="6" s="1"/>
  <c r="K15" i="6" s="1"/>
  <c r="L15" i="6" s="1"/>
  <c r="D18" i="7" l="1"/>
  <c r="H7" i="7"/>
  <c r="D7" i="6"/>
  <c r="F7" i="6" s="1"/>
  <c r="H7" i="6" s="1"/>
  <c r="F9" i="6"/>
  <c r="H9" i="6" s="1"/>
  <c r="I9" i="6" s="1"/>
  <c r="J9" i="6" s="1"/>
  <c r="K9" i="6" s="1"/>
  <c r="L9" i="6" s="1"/>
  <c r="E8" i="6"/>
  <c r="E6" i="6"/>
  <c r="E5" i="6"/>
  <c r="D8" i="6"/>
  <c r="D6" i="6"/>
  <c r="G6" i="7" l="1"/>
  <c r="H6" i="7" s="1"/>
  <c r="F6" i="6"/>
  <c r="H6" i="6" s="1"/>
  <c r="I6" i="6" s="1"/>
  <c r="J6" i="6" s="1"/>
  <c r="K6" i="6" s="1"/>
  <c r="L6" i="6" s="1"/>
  <c r="G5" i="7"/>
  <c r="H5" i="7" s="1"/>
  <c r="F5" i="6"/>
  <c r="H5" i="6" s="1"/>
  <c r="I5" i="6" s="1"/>
  <c r="J5" i="6" s="1"/>
  <c r="K5" i="6" s="1"/>
  <c r="L5" i="6" s="1"/>
  <c r="G8" i="7"/>
  <c r="F8" i="6"/>
  <c r="H8" i="6" s="1"/>
  <c r="I8" i="6" s="1"/>
  <c r="J8" i="6" s="1"/>
  <c r="K8" i="6" s="1"/>
  <c r="L8" i="6" s="1"/>
  <c r="I7" i="6"/>
  <c r="F13" i="6" l="1"/>
  <c r="F17" i="6" s="1"/>
  <c r="H17" i="6" s="1"/>
  <c r="I17" i="6" s="1"/>
  <c r="J17" i="6" s="1"/>
  <c r="K17" i="6" s="1"/>
  <c r="L17" i="6" s="1"/>
  <c r="J8" i="7"/>
  <c r="H8" i="7"/>
  <c r="K5" i="7" s="1"/>
  <c r="H13" i="6"/>
  <c r="I13" i="6"/>
  <c r="J7" i="6"/>
  <c r="N73" i="4"/>
  <c r="F20" i="6" l="1"/>
  <c r="F23" i="6" s="1"/>
  <c r="L5" i="7"/>
  <c r="M5" i="7" s="1"/>
  <c r="K7" i="6"/>
  <c r="J13" i="6"/>
  <c r="K27" i="5"/>
  <c r="H20" i="6" l="1"/>
  <c r="I20" i="6" s="1"/>
  <c r="J20" i="6" s="1"/>
  <c r="K20" i="6" s="1"/>
  <c r="L20" i="6" s="1"/>
  <c r="F25" i="6"/>
  <c r="H25" i="6" s="1"/>
  <c r="I25" i="6" s="1"/>
  <c r="J25" i="6" s="1"/>
  <c r="K25" i="6" s="1"/>
  <c r="L25" i="6" s="1"/>
  <c r="H23" i="6"/>
  <c r="I23" i="6" s="1"/>
  <c r="J23" i="6" s="1"/>
  <c r="K23" i="6" s="1"/>
  <c r="L23" i="6" s="1"/>
  <c r="L7" i="6"/>
  <c r="L13" i="6" s="1"/>
  <c r="K13" i="6"/>
  <c r="K40" i="5"/>
  <c r="M40" i="5" s="1"/>
  <c r="N40" i="5" s="1"/>
  <c r="M50" i="5"/>
  <c r="K41" i="5" s="1"/>
  <c r="L50" i="5"/>
  <c r="J14" i="5"/>
  <c r="Q41" i="5" l="1"/>
  <c r="R41" i="5"/>
  <c r="O41" i="5"/>
  <c r="M41" i="5"/>
  <c r="N41" i="5"/>
  <c r="N42" i="5" s="1"/>
  <c r="P41" i="5"/>
  <c r="M42" i="5"/>
  <c r="O40" i="5"/>
  <c r="O42" i="5" s="1"/>
  <c r="P40" i="5" l="1"/>
  <c r="P42" i="5" s="1"/>
  <c r="Q40" i="5" l="1"/>
  <c r="R40" i="5"/>
  <c r="R42" i="5" s="1"/>
  <c r="Q42" i="5"/>
  <c r="I9" i="5"/>
  <c r="J9" i="5"/>
  <c r="K9" i="5"/>
  <c r="L9" i="5"/>
  <c r="H9" i="5"/>
  <c r="F16" i="5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0" i="5"/>
  <c r="C20" i="5"/>
  <c r="C28" i="5" l="1"/>
  <c r="D30" i="5" s="1"/>
  <c r="D29" i="5"/>
  <c r="R19" i="5" l="1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R16" i="5"/>
  <c r="Q16" i="5"/>
  <c r="P16" i="5"/>
  <c r="O16" i="5"/>
  <c r="N16" i="5"/>
  <c r="M16" i="5"/>
  <c r="M15" i="5" s="1"/>
  <c r="L16" i="5"/>
  <c r="K16" i="5"/>
  <c r="J16" i="5"/>
  <c r="I16" i="5"/>
  <c r="H16" i="5"/>
  <c r="G16" i="5"/>
  <c r="R14" i="5"/>
  <c r="Q14" i="5"/>
  <c r="P14" i="5"/>
  <c r="O14" i="5"/>
  <c r="N14" i="5"/>
  <c r="M14" i="5"/>
  <c r="L14" i="5"/>
  <c r="K14" i="5"/>
  <c r="I14" i="5"/>
  <c r="H14" i="5"/>
  <c r="G14" i="5"/>
  <c r="F14" i="5"/>
  <c r="E18" i="5"/>
  <c r="D18" i="5"/>
  <c r="C18" i="5"/>
  <c r="E17" i="5"/>
  <c r="D17" i="5"/>
  <c r="C17" i="5"/>
  <c r="E16" i="5"/>
  <c r="D16" i="5"/>
  <c r="E14" i="5"/>
  <c r="D14" i="5"/>
  <c r="C16" i="5"/>
  <c r="C14" i="5"/>
  <c r="C6" i="5"/>
  <c r="C10" i="5"/>
  <c r="C13" i="5" s="1"/>
  <c r="D6" i="5" l="1"/>
  <c r="D10" i="5" s="1"/>
  <c r="H15" i="5"/>
  <c r="F15" i="5"/>
  <c r="L15" i="5"/>
  <c r="C15" i="5"/>
  <c r="Q15" i="5"/>
  <c r="P15" i="5"/>
  <c r="I15" i="5"/>
  <c r="E15" i="5"/>
  <c r="D15" i="5"/>
  <c r="K15" i="5"/>
  <c r="N15" i="5"/>
  <c r="G15" i="5"/>
  <c r="O15" i="5"/>
  <c r="J15" i="5"/>
  <c r="R15" i="5"/>
  <c r="D13" i="5" l="1"/>
  <c r="E6" i="5"/>
  <c r="C21" i="5"/>
  <c r="C35" i="5" s="1"/>
  <c r="D21" i="5"/>
  <c r="D35" i="5" s="1"/>
  <c r="E10" i="5"/>
  <c r="E13" i="5" l="1"/>
  <c r="E21" i="5" s="1"/>
  <c r="F6" i="5"/>
  <c r="F10" i="5" s="1"/>
  <c r="G6" i="5" l="1"/>
  <c r="G10" i="5" s="1"/>
  <c r="F13" i="5"/>
  <c r="F21" i="5" s="1"/>
  <c r="A67" i="4"/>
  <c r="G13" i="5" l="1"/>
  <c r="G21" i="5" s="1"/>
  <c r="H6" i="5"/>
  <c r="H10" i="5" s="1"/>
  <c r="I6" i="5" l="1"/>
  <c r="I10" i="5" s="1"/>
  <c r="H13" i="5"/>
  <c r="H21" i="5" s="1"/>
  <c r="C53" i="4"/>
  <c r="F53" i="4" s="1"/>
  <c r="H53" i="4" s="1"/>
  <c r="J53" i="4" s="1"/>
  <c r="AB61" i="4" s="1"/>
  <c r="C52" i="4"/>
  <c r="J6" i="5" l="1"/>
  <c r="J10" i="5" s="1"/>
  <c r="I13" i="5"/>
  <c r="I21" i="5" s="1"/>
  <c r="J13" i="5" l="1"/>
  <c r="J21" i="5" s="1"/>
  <c r="K6" i="5"/>
  <c r="K10" i="5" s="1"/>
  <c r="AH31" i="4"/>
  <c r="AI31" i="4"/>
  <c r="I31" i="4"/>
  <c r="G26" i="5" s="1"/>
  <c r="H31" i="4"/>
  <c r="F26" i="5" s="1"/>
  <c r="G31" i="4"/>
  <c r="N34" i="4"/>
  <c r="H29" i="4"/>
  <c r="F29" i="5" l="1"/>
  <c r="F35" i="5" s="1"/>
  <c r="E26" i="5"/>
  <c r="C31" i="4"/>
  <c r="L6" i="5"/>
  <c r="L10" i="5" s="1"/>
  <c r="K13" i="5"/>
  <c r="K21" i="5" s="1"/>
  <c r="G29" i="5"/>
  <c r="G35" i="5" s="1"/>
  <c r="Z34" i="4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E52" i="4" s="1"/>
  <c r="F52" i="4" s="1"/>
  <c r="H52" i="4" s="1"/>
  <c r="J52" i="4" s="1"/>
  <c r="O60" i="4" s="1"/>
  <c r="P60" i="4" s="1"/>
  <c r="Q60" i="4" s="1"/>
  <c r="R60" i="4" s="1"/>
  <c r="S60" i="4" s="1"/>
  <c r="T60" i="4" s="1"/>
  <c r="U60" i="4" s="1"/>
  <c r="V60" i="4" s="1"/>
  <c r="W60" i="4" s="1"/>
  <c r="X60" i="4" s="1"/>
  <c r="Y60" i="4" s="1"/>
  <c r="Z60" i="4" s="1"/>
  <c r="AA60" i="4" s="1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L13" i="5" l="1"/>
  <c r="L21" i="5" s="1"/>
  <c r="M6" i="5"/>
  <c r="M10" i="5" s="1"/>
  <c r="D31" i="4"/>
  <c r="E31" i="4" s="1"/>
  <c r="F31" i="4" s="1"/>
  <c r="E29" i="5"/>
  <c r="E35" i="5" s="1"/>
  <c r="E28" i="5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40" i="4" s="1"/>
  <c r="E14" i="1"/>
  <c r="E15" i="1" s="1"/>
  <c r="C8" i="4"/>
  <c r="B24" i="5" l="1"/>
  <c r="M13" i="5"/>
  <c r="M21" i="5" s="1"/>
  <c r="N6" i="5"/>
  <c r="N10" i="5" s="1"/>
  <c r="E30" i="5"/>
  <c r="F27" i="5"/>
  <c r="F28" i="5" s="1"/>
  <c r="AE30" i="4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C21" i="4" l="1"/>
  <c r="C50" i="4"/>
  <c r="P31" i="4"/>
  <c r="M26" i="5"/>
  <c r="M43" i="5" s="1"/>
  <c r="F30" i="5"/>
  <c r="F33" i="5"/>
  <c r="G28" i="5"/>
  <c r="O6" i="5"/>
  <c r="O10" i="5" s="1"/>
  <c r="N13" i="5"/>
  <c r="N21" i="5" s="1"/>
  <c r="N31" i="4"/>
  <c r="L26" i="5" s="1"/>
  <c r="N29" i="4"/>
  <c r="K31" i="4"/>
  <c r="I26" i="5" s="1"/>
  <c r="K29" i="4"/>
  <c r="L31" i="4"/>
  <c r="J26" i="5" s="1"/>
  <c r="L29" i="4"/>
  <c r="J31" i="4"/>
  <c r="J29" i="4"/>
  <c r="M31" i="4"/>
  <c r="K26" i="5" s="1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I29" i="5" l="1"/>
  <c r="I35" i="5" s="1"/>
  <c r="K29" i="5"/>
  <c r="K35" i="5" s="1"/>
  <c r="M29" i="5"/>
  <c r="M35" i="5" s="1"/>
  <c r="H26" i="5"/>
  <c r="Q31" i="4"/>
  <c r="N26" i="5"/>
  <c r="N43" i="5" s="1"/>
  <c r="G30" i="5"/>
  <c r="G33" i="5"/>
  <c r="J29" i="5"/>
  <c r="J35" i="5" s="1"/>
  <c r="E50" i="4"/>
  <c r="F50" i="4" s="1"/>
  <c r="H50" i="4" s="1"/>
  <c r="L29" i="5"/>
  <c r="L35" i="5" s="1"/>
  <c r="O13" i="5"/>
  <c r="O21" i="5" s="1"/>
  <c r="P6" i="5"/>
  <c r="P10" i="5" s="1"/>
  <c r="C38" i="4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H28" i="5" l="1"/>
  <c r="L37" i="5"/>
  <c r="M45" i="5"/>
  <c r="M47" i="5" s="1"/>
  <c r="C43" i="4"/>
  <c r="Q6" i="5"/>
  <c r="Q10" i="5" s="1"/>
  <c r="P13" i="5"/>
  <c r="P21" i="5" s="1"/>
  <c r="N29" i="5"/>
  <c r="N35" i="5" s="1"/>
  <c r="N45" i="5" s="1"/>
  <c r="N47" i="5" s="1"/>
  <c r="H29" i="5"/>
  <c r="H35" i="5" s="1"/>
  <c r="J50" i="4"/>
  <c r="C58" i="4" s="1"/>
  <c r="R31" i="4"/>
  <c r="O26" i="5"/>
  <c r="O43" i="5" s="1"/>
  <c r="D38" i="4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H30" i="5" l="1"/>
  <c r="I28" i="5"/>
  <c r="H33" i="5"/>
  <c r="O29" i="5"/>
  <c r="O35" i="5" s="1"/>
  <c r="O45" i="5" s="1"/>
  <c r="O47" i="5" s="1"/>
  <c r="D43" i="4"/>
  <c r="S31" i="4"/>
  <c r="P26" i="5"/>
  <c r="P43" i="5" s="1"/>
  <c r="C63" i="4"/>
  <c r="D58" i="4"/>
  <c r="Q13" i="5"/>
  <c r="Q21" i="5" s="1"/>
  <c r="R6" i="5"/>
  <c r="R10" i="5" s="1"/>
  <c r="R13" i="5" s="1"/>
  <c r="R21" i="5" s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I30" i="5" l="1"/>
  <c r="J28" i="5"/>
  <c r="I33" i="5"/>
  <c r="P29" i="5"/>
  <c r="P35" i="5" s="1"/>
  <c r="P45" i="5" s="1"/>
  <c r="P47" i="5" s="1"/>
  <c r="C66" i="4"/>
  <c r="C67" i="4"/>
  <c r="C64" i="4"/>
  <c r="E43" i="4"/>
  <c r="T31" i="4"/>
  <c r="Q26" i="5"/>
  <c r="Q43" i="5" s="1"/>
  <c r="E58" i="4"/>
  <c r="D63" i="4"/>
  <c r="F38" i="4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K28" i="5" l="1"/>
  <c r="J30" i="5"/>
  <c r="J33" i="5"/>
  <c r="U31" i="4"/>
  <c r="V31" i="4" s="1"/>
  <c r="W31" i="4" s="1"/>
  <c r="X31" i="4" s="1"/>
  <c r="Y31" i="4" s="1"/>
  <c r="Z31" i="4" s="1"/>
  <c r="R26" i="5"/>
  <c r="R43" i="5" s="1"/>
  <c r="E51" i="4"/>
  <c r="F43" i="4"/>
  <c r="D66" i="4"/>
  <c r="D67" i="4"/>
  <c r="D64" i="4"/>
  <c r="F58" i="4"/>
  <c r="E63" i="4"/>
  <c r="Q29" i="5"/>
  <c r="Q35" i="5" s="1"/>
  <c r="Q45" i="5" s="1"/>
  <c r="Q47" i="5" s="1"/>
  <c r="G38" i="4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L28" i="5" l="1"/>
  <c r="K30" i="5"/>
  <c r="K33" i="5"/>
  <c r="G43" i="4"/>
  <c r="E66" i="4"/>
  <c r="E67" i="4"/>
  <c r="E64" i="4"/>
  <c r="R29" i="5"/>
  <c r="R35" i="5" s="1"/>
  <c r="R45" i="5" s="1"/>
  <c r="R47" i="5" s="1"/>
  <c r="G58" i="4"/>
  <c r="F63" i="4"/>
  <c r="H38" i="4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M28" i="5" l="1"/>
  <c r="L30" i="5"/>
  <c r="L33" i="5"/>
  <c r="H58" i="4"/>
  <c r="G63" i="4"/>
  <c r="H43" i="4"/>
  <c r="F66" i="4"/>
  <c r="F67" i="4"/>
  <c r="F64" i="4"/>
  <c r="I38" i="4"/>
  <c r="AG29" i="4"/>
  <c r="N40" i="4"/>
  <c r="J23" i="4"/>
  <c r="K24" i="4" s="1"/>
  <c r="J26" i="4"/>
  <c r="J25" i="4" s="1"/>
  <c r="K16" i="4"/>
  <c r="J15" i="4"/>
  <c r="J14" i="4" s="1"/>
  <c r="J18" i="4" s="1"/>
  <c r="N28" i="5" l="1"/>
  <c r="M30" i="5"/>
  <c r="M33" i="5"/>
  <c r="I43" i="4"/>
  <c r="G66" i="4"/>
  <c r="G67" i="4"/>
  <c r="G64" i="4"/>
  <c r="I58" i="4"/>
  <c r="J38" i="4"/>
  <c r="AH29" i="4"/>
  <c r="O40" i="4"/>
  <c r="K23" i="4"/>
  <c r="L24" i="4" s="1"/>
  <c r="K26" i="4"/>
  <c r="K25" i="4" s="1"/>
  <c r="L16" i="4"/>
  <c r="K15" i="4"/>
  <c r="K14" i="4" s="1"/>
  <c r="K18" i="4" s="1"/>
  <c r="E5" i="1"/>
  <c r="O28" i="5" l="1"/>
  <c r="N30" i="5"/>
  <c r="N33" i="5"/>
  <c r="J43" i="4"/>
  <c r="J58" i="4"/>
  <c r="K38" i="4"/>
  <c r="K43" i="4" s="1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P28" i="5" l="1"/>
  <c r="O30" i="5"/>
  <c r="O33" i="5"/>
  <c r="K58" i="4"/>
  <c r="AJ31" i="4"/>
  <c r="L38" i="4"/>
  <c r="AJ29" i="4"/>
  <c r="AK30" i="4"/>
  <c r="AK31" i="4" s="1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Q28" i="5" l="1"/>
  <c r="P30" i="5"/>
  <c r="P33" i="5"/>
  <c r="L58" i="4"/>
  <c r="L43" i="4"/>
  <c r="M38" i="4"/>
  <c r="N38" i="4"/>
  <c r="AK29" i="4"/>
  <c r="AL30" i="4"/>
  <c r="R40" i="4"/>
  <c r="N15" i="4"/>
  <c r="N14" i="4" s="1"/>
  <c r="N18" i="4" s="1"/>
  <c r="N23" i="4"/>
  <c r="R28" i="5" l="1"/>
  <c r="Q30" i="5"/>
  <c r="Q33" i="5"/>
  <c r="M43" i="4"/>
  <c r="M58" i="4"/>
  <c r="N43" i="4"/>
  <c r="C45" i="4" s="1"/>
  <c r="AL29" i="4"/>
  <c r="AL31" i="4"/>
  <c r="C51" i="4"/>
  <c r="S40" i="4"/>
  <c r="O24" i="4"/>
  <c r="O26" i="4" s="1"/>
  <c r="O23" i="4"/>
  <c r="O15" i="4"/>
  <c r="O14" i="4" s="1"/>
  <c r="O18" i="4" s="1"/>
  <c r="P16" i="4"/>
  <c r="R30" i="5" l="1"/>
  <c r="R33" i="5"/>
  <c r="N58" i="4"/>
  <c r="F51" i="4"/>
  <c r="H51" i="4" s="1"/>
  <c r="C55" i="4"/>
  <c r="T40" i="4"/>
  <c r="P15" i="4"/>
  <c r="P14" i="4" s="1"/>
  <c r="P18" i="4" s="1"/>
  <c r="Q16" i="4"/>
  <c r="P23" i="4"/>
  <c r="P24" i="4"/>
  <c r="O25" i="4"/>
  <c r="P26" i="4"/>
  <c r="J51" i="4" l="1"/>
  <c r="H59" i="4" s="1"/>
  <c r="H55" i="4"/>
  <c r="O58" i="4"/>
  <c r="O38" i="4"/>
  <c r="U40" i="4"/>
  <c r="R16" i="4"/>
  <c r="Q15" i="4"/>
  <c r="Q14" i="4" s="1"/>
  <c r="Q18" i="4" s="1"/>
  <c r="P25" i="4"/>
  <c r="P38" i="4" s="1"/>
  <c r="Q26" i="4"/>
  <c r="Q23" i="4"/>
  <c r="Q24" i="4"/>
  <c r="O43" i="4" l="1"/>
  <c r="P43" i="4"/>
  <c r="I59" i="4"/>
  <c r="H63" i="4"/>
  <c r="V40" i="4"/>
  <c r="R23" i="4"/>
  <c r="R24" i="4"/>
  <c r="Q25" i="4"/>
  <c r="Q38" i="4" s="1"/>
  <c r="R26" i="4"/>
  <c r="S16" i="4"/>
  <c r="R15" i="4"/>
  <c r="R14" i="4" s="1"/>
  <c r="R18" i="4" s="1"/>
  <c r="J59" i="4" l="1"/>
  <c r="I63" i="4"/>
  <c r="H66" i="4"/>
  <c r="H67" i="4"/>
  <c r="H64" i="4"/>
  <c r="Q43" i="4"/>
  <c r="W40" i="4"/>
  <c r="T16" i="4"/>
  <c r="S15" i="4"/>
  <c r="S14" i="4" s="1"/>
  <c r="S18" i="4" s="1"/>
  <c r="S26" i="4"/>
  <c r="R25" i="4"/>
  <c r="R38" i="4" s="1"/>
  <c r="S23" i="4"/>
  <c r="S24" i="4"/>
  <c r="I66" i="4" l="1"/>
  <c r="I67" i="4"/>
  <c r="I64" i="4"/>
  <c r="R43" i="4"/>
  <c r="K59" i="4"/>
  <c r="J63" i="4"/>
  <c r="X40" i="4"/>
  <c r="T26" i="4"/>
  <c r="S25" i="4"/>
  <c r="S38" i="4" s="1"/>
  <c r="T23" i="4"/>
  <c r="T24" i="4"/>
  <c r="U16" i="4"/>
  <c r="T15" i="4"/>
  <c r="T14" i="4" s="1"/>
  <c r="T18" i="4" s="1"/>
  <c r="J66" i="4" l="1"/>
  <c r="J67" i="4"/>
  <c r="J64" i="4"/>
  <c r="L59" i="4"/>
  <c r="K63" i="4"/>
  <c r="S43" i="4"/>
  <c r="Y40" i="4"/>
  <c r="V16" i="4"/>
  <c r="U15" i="4"/>
  <c r="U14" i="4" s="1"/>
  <c r="U18" i="4" s="1"/>
  <c r="U23" i="4"/>
  <c r="U24" i="4"/>
  <c r="U26" i="4"/>
  <c r="T25" i="4"/>
  <c r="T38" i="4" s="1"/>
  <c r="T43" i="4" l="1"/>
  <c r="M59" i="4"/>
  <c r="L63" i="4"/>
  <c r="K66" i="4"/>
  <c r="K67" i="4"/>
  <c r="K64" i="4"/>
  <c r="Z40" i="4"/>
  <c r="V23" i="4"/>
  <c r="V24" i="4"/>
  <c r="V26" i="4"/>
  <c r="U25" i="4"/>
  <c r="U38" i="4" s="1"/>
  <c r="W16" i="4"/>
  <c r="V15" i="4"/>
  <c r="V14" i="4" s="1"/>
  <c r="V18" i="4" s="1"/>
  <c r="L66" i="4" l="1"/>
  <c r="L67" i="4"/>
  <c r="L64" i="4"/>
  <c r="U43" i="4"/>
  <c r="N59" i="4"/>
  <c r="M63" i="4"/>
  <c r="AA40" i="4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W23" i="4"/>
  <c r="W24" i="4"/>
  <c r="V43" i="4" l="1"/>
  <c r="M66" i="4"/>
  <c r="M67" i="4"/>
  <c r="M64" i="4"/>
  <c r="O59" i="4"/>
  <c r="N63" i="4"/>
  <c r="X26" i="4"/>
  <c r="W25" i="4"/>
  <c r="W38" i="4" s="1"/>
  <c r="X23" i="4"/>
  <c r="X24" i="4"/>
  <c r="Y16" i="4"/>
  <c r="X15" i="4"/>
  <c r="X14" i="4" s="1"/>
  <c r="X18" i="4" s="1"/>
  <c r="N66" i="4" l="1"/>
  <c r="N67" i="4"/>
  <c r="N64" i="4"/>
  <c r="P59" i="4"/>
  <c r="O63" i="4"/>
  <c r="W43" i="4"/>
  <c r="Z16" i="4"/>
  <c r="Y15" i="4"/>
  <c r="Y14" i="4" s="1"/>
  <c r="Y18" i="4" s="1"/>
  <c r="Y23" i="4"/>
  <c r="Y24" i="4"/>
  <c r="Y26" i="4"/>
  <c r="X25" i="4"/>
  <c r="X38" i="4" s="1"/>
  <c r="O66" i="4" l="1"/>
  <c r="O67" i="4"/>
  <c r="O64" i="4"/>
  <c r="Q59" i="4"/>
  <c r="P63" i="4"/>
  <c r="X43" i="4"/>
  <c r="Z15" i="4"/>
  <c r="Z14" i="4" s="1"/>
  <c r="Z18" i="4" s="1"/>
  <c r="AA16" i="4"/>
  <c r="Z26" i="4"/>
  <c r="Y25" i="4"/>
  <c r="Y38" i="4" s="1"/>
  <c r="Z23" i="4"/>
  <c r="Z24" i="4"/>
  <c r="Y43" i="4" l="1"/>
  <c r="P66" i="4"/>
  <c r="P67" i="4"/>
  <c r="P64" i="4"/>
  <c r="R59" i="4"/>
  <c r="Q63" i="4"/>
  <c r="AA15" i="4"/>
  <c r="AA14" i="4" s="1"/>
  <c r="AA18" i="4" s="1"/>
  <c r="AB16" i="4"/>
  <c r="AA24" i="4"/>
  <c r="AA23" i="4"/>
  <c r="Z25" i="4"/>
  <c r="AA26" i="4"/>
  <c r="Q66" i="4" l="1"/>
  <c r="Q67" i="4"/>
  <c r="Q64" i="4"/>
  <c r="S59" i="4"/>
  <c r="R63" i="4"/>
  <c r="Z38" i="4"/>
  <c r="AB26" i="4"/>
  <c r="AA25" i="4"/>
  <c r="AA38" i="4" s="1"/>
  <c r="AB24" i="4"/>
  <c r="AB23" i="4"/>
  <c r="AB15" i="4"/>
  <c r="AB14" i="4" s="1"/>
  <c r="AB18" i="4" s="1"/>
  <c r="AC16" i="4"/>
  <c r="Z43" i="4" l="1"/>
  <c r="C46" i="4" s="1"/>
  <c r="T59" i="4"/>
  <c r="S63" i="4"/>
  <c r="R66" i="4"/>
  <c r="R67" i="4"/>
  <c r="R64" i="4"/>
  <c r="AA43" i="4"/>
  <c r="AC15" i="4"/>
  <c r="AC14" i="4" s="1"/>
  <c r="AC18" i="4" s="1"/>
  <c r="AD16" i="4"/>
  <c r="AC23" i="4"/>
  <c r="AC24" i="4"/>
  <c r="AC26" i="4"/>
  <c r="AB25" i="4"/>
  <c r="AB38" i="4" s="1"/>
  <c r="AB43" i="4" l="1"/>
  <c r="S66" i="4"/>
  <c r="S67" i="4"/>
  <c r="S64" i="4"/>
  <c r="U59" i="4"/>
  <c r="T63" i="4"/>
  <c r="AD26" i="4"/>
  <c r="AC25" i="4"/>
  <c r="AC38" i="4" s="1"/>
  <c r="AD23" i="4"/>
  <c r="AD24" i="4"/>
  <c r="AD15" i="4"/>
  <c r="AD14" i="4" s="1"/>
  <c r="AD18" i="4" s="1"/>
  <c r="AE16" i="4"/>
  <c r="V59" i="4" l="1"/>
  <c r="U63" i="4"/>
  <c r="T66" i="4"/>
  <c r="T67" i="4"/>
  <c r="T64" i="4"/>
  <c r="AC43" i="4"/>
  <c r="AE15" i="4"/>
  <c r="AE14" i="4" s="1"/>
  <c r="AE18" i="4" s="1"/>
  <c r="AF16" i="4"/>
  <c r="AE23" i="4"/>
  <c r="AE24" i="4"/>
  <c r="AE26" i="4"/>
  <c r="AD25" i="4"/>
  <c r="AD38" i="4" s="1"/>
  <c r="AD43" i="4" l="1"/>
  <c r="U66" i="4"/>
  <c r="U67" i="4"/>
  <c r="U64" i="4"/>
  <c r="W59" i="4"/>
  <c r="V63" i="4"/>
  <c r="AF15" i="4"/>
  <c r="AF14" i="4" s="1"/>
  <c r="AF18" i="4" s="1"/>
  <c r="AG16" i="4"/>
  <c r="AE25" i="4"/>
  <c r="AE38" i="4" s="1"/>
  <c r="AF26" i="4"/>
  <c r="AF24" i="4"/>
  <c r="AF23" i="4"/>
  <c r="X59" i="4" l="1"/>
  <c r="W63" i="4"/>
  <c r="V66" i="4"/>
  <c r="V67" i="4"/>
  <c r="V64" i="4"/>
  <c r="AE43" i="4"/>
  <c r="AG24" i="4"/>
  <c r="AG23" i="4"/>
  <c r="AF25" i="4"/>
  <c r="AF38" i="4" s="1"/>
  <c r="AG26" i="4"/>
  <c r="AG15" i="4"/>
  <c r="AG14" i="4" s="1"/>
  <c r="AG18" i="4" s="1"/>
  <c r="AH16" i="4"/>
  <c r="W66" i="4" l="1"/>
  <c r="W67" i="4"/>
  <c r="W64" i="4"/>
  <c r="AF43" i="4"/>
  <c r="Y59" i="4"/>
  <c r="X63" i="4"/>
  <c r="AH15" i="4"/>
  <c r="AH14" i="4" s="1"/>
  <c r="AH18" i="4" s="1"/>
  <c r="AI16" i="4"/>
  <c r="AG25" i="4"/>
  <c r="AG38" i="4" s="1"/>
  <c r="AH26" i="4"/>
  <c r="AH23" i="4"/>
  <c r="AH24" i="4"/>
  <c r="X66" i="4" l="1"/>
  <c r="X67" i="4"/>
  <c r="X64" i="4"/>
  <c r="Z59" i="4"/>
  <c r="Y63" i="4"/>
  <c r="AG43" i="4"/>
  <c r="AI23" i="4"/>
  <c r="AI24" i="4"/>
  <c r="AI26" i="4"/>
  <c r="AH25" i="4"/>
  <c r="AH38" i="4" s="1"/>
  <c r="AI15" i="4"/>
  <c r="AI14" i="4" s="1"/>
  <c r="AI18" i="4" s="1"/>
  <c r="AJ16" i="4"/>
  <c r="Y66" i="4" l="1"/>
  <c r="Y67" i="4"/>
  <c r="Y64" i="4"/>
  <c r="AA59" i="4"/>
  <c r="Z63" i="4"/>
  <c r="AH43" i="4"/>
  <c r="AJ15" i="4"/>
  <c r="AJ14" i="4" s="1"/>
  <c r="AJ18" i="4" s="1"/>
  <c r="AK16" i="4"/>
  <c r="AJ26" i="4"/>
  <c r="AI25" i="4"/>
  <c r="AI38" i="4" s="1"/>
  <c r="AJ23" i="4"/>
  <c r="AJ24" i="4"/>
  <c r="AB59" i="4" l="1"/>
  <c r="AA63" i="4"/>
  <c r="Z66" i="4"/>
  <c r="Z67" i="4"/>
  <c r="Z64" i="4"/>
  <c r="AI43" i="4"/>
  <c r="AK23" i="4"/>
  <c r="AK24" i="4"/>
  <c r="AJ25" i="4"/>
  <c r="AJ38" i="4" s="1"/>
  <c r="AK26" i="4"/>
  <c r="AK15" i="4"/>
  <c r="AK14" i="4" s="1"/>
  <c r="AK18" i="4" s="1"/>
  <c r="AL16" i="4"/>
  <c r="AA66" i="4" l="1"/>
  <c r="AA67" i="4"/>
  <c r="AA64" i="4"/>
  <c r="AJ43" i="4"/>
  <c r="AC59" i="4"/>
  <c r="AB63" i="4"/>
  <c r="AL23" i="4"/>
  <c r="AL24" i="4"/>
  <c r="AL15" i="4"/>
  <c r="AL14" i="4" s="1"/>
  <c r="AL18" i="4" s="1"/>
  <c r="AK25" i="4"/>
  <c r="AK38" i="4" s="1"/>
  <c r="AL26" i="4"/>
  <c r="AL25" i="4" s="1"/>
  <c r="AL38" i="4" s="1"/>
  <c r="AL43" i="4" l="1"/>
  <c r="AB66" i="4"/>
  <c r="AB67" i="4"/>
  <c r="AB64" i="4"/>
  <c r="AD59" i="4"/>
  <c r="AC63" i="4"/>
  <c r="AK43" i="4"/>
  <c r="AC66" i="4" l="1"/>
  <c r="AC67" i="4"/>
  <c r="AC64" i="4"/>
  <c r="AE59" i="4"/>
  <c r="AD63" i="4"/>
  <c r="C47" i="4"/>
  <c r="AD66" i="4" l="1"/>
  <c r="AD67" i="4"/>
  <c r="AD64" i="4"/>
  <c r="AF59" i="4"/>
  <c r="AE63" i="4"/>
  <c r="AG59" i="4" l="1"/>
  <c r="AF63" i="4"/>
  <c r="AE66" i="4"/>
  <c r="AE67" i="4"/>
  <c r="AE64" i="4"/>
  <c r="AF66" i="4" l="1"/>
  <c r="AF67" i="4"/>
  <c r="AF64" i="4"/>
  <c r="AH59" i="4"/>
  <c r="AG63" i="4"/>
  <c r="AI59" i="4" l="1"/>
  <c r="AH63" i="4"/>
  <c r="AG66" i="4"/>
  <c r="AG67" i="4"/>
  <c r="AG64" i="4"/>
  <c r="AH66" i="4" l="1"/>
  <c r="AH67" i="4"/>
  <c r="AH64" i="4"/>
  <c r="AJ59" i="4"/>
  <c r="AI63" i="4"/>
  <c r="AI66" i="4" l="1"/>
  <c r="AI67" i="4"/>
  <c r="AI64" i="4"/>
  <c r="AK59" i="4"/>
  <c r="AJ63" i="4"/>
  <c r="AJ66" i="4" l="1"/>
  <c r="AJ67" i="4"/>
  <c r="AJ64" i="4"/>
  <c r="AL59" i="4"/>
  <c r="AK63" i="4"/>
  <c r="AK66" i="4" l="1"/>
  <c r="AK67" i="4"/>
  <c r="AK64" i="4"/>
  <c r="AM59" i="4"/>
  <c r="AM63" i="4" s="1"/>
  <c r="AL63" i="4"/>
  <c r="AM64" i="4" l="1"/>
  <c r="AM66" i="4"/>
  <c r="AM67" i="4"/>
  <c r="AL66" i="4"/>
  <c r="AL67" i="4"/>
  <c r="AL64" i="4"/>
  <c r="H12" i="7" l="1"/>
</calcChain>
</file>

<file path=xl/sharedStrings.xml><?xml version="1.0" encoding="utf-8"?>
<sst xmlns="http://schemas.openxmlformats.org/spreadsheetml/2006/main" count="175" uniqueCount="138">
  <si>
    <t>N° de Cajas</t>
  </si>
  <si>
    <t>Precio Unitario</t>
  </si>
  <si>
    <t>Total</t>
  </si>
  <si>
    <t>Cantidad de Cajas Mensuales</t>
  </si>
  <si>
    <t>Descripción</t>
  </si>
  <si>
    <t>Custodia Mensual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</si>
  <si>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</si>
  <si>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</si>
  <si>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</si>
  <si>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</si>
  <si>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</si>
  <si>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</si>
  <si>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</si>
  <si>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</si>
  <si>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</si>
  <si>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</si>
  <si>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</si>
  <si>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</si>
  <si>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</si>
  <si>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</si>
  <si>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</si>
  <si>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</si>
  <si>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</si>
  <si>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</si>
  <si>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</si>
  <si>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</si>
  <si>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</si>
  <si>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</si>
  <si>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</si>
  <si>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</si>
  <si>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</si>
  <si>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</si>
  <si>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</si>
  <si>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</si>
  <si>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</si>
  <si>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</si>
  <si>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</si>
  <si>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</si>
  <si>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</si>
  <si>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</si>
  <si>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</si>
  <si>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</si>
  <si>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</si>
  <si>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</si>
  <si>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</si>
  <si>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</si>
  <si>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</si>
  <si>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</si>
  <si>
    <t>Destrucción</t>
  </si>
  <si>
    <t>Digitalización</t>
  </si>
  <si>
    <t>Ordenamiento x File</t>
  </si>
  <si>
    <t>Custodia Digital</t>
  </si>
  <si>
    <t>% Comisión</t>
  </si>
  <si>
    <t>Costo Unitario</t>
  </si>
  <si>
    <t>Subtotal</t>
  </si>
  <si>
    <t>Margen</t>
  </si>
  <si>
    <t>$ Comisión</t>
  </si>
  <si>
    <t>TOTAL</t>
  </si>
  <si>
    <t>DETALLE</t>
  </si>
  <si>
    <t>Valor Facturado</t>
  </si>
  <si>
    <t>Tiempo / Pago</t>
  </si>
  <si>
    <t>Valor Mensual</t>
  </si>
  <si>
    <t>Periodo</t>
  </si>
  <si>
    <t>Nov 19 - Jun 22</t>
  </si>
  <si>
    <t>Jun 19 - Jun 20</t>
  </si>
  <si>
    <t>Jun 20 - Jun 21</t>
  </si>
  <si>
    <t>Jul 21 - JuL 21</t>
  </si>
  <si>
    <t>Jazmin Torres</t>
  </si>
  <si>
    <t>Santiago Gómez</t>
  </si>
  <si>
    <t>Comisionistas VS. Mes Pago</t>
  </si>
  <si>
    <t>Detalle</t>
  </si>
  <si>
    <t>Saldo en Cajas</t>
  </si>
  <si>
    <t>Cajas Destruidas</t>
  </si>
  <si>
    <t>Ingresos</t>
  </si>
  <si>
    <t>Cajas a Facturar</t>
  </si>
  <si>
    <t>Facturado Cajas</t>
  </si>
  <si>
    <t>Total de Destrucción</t>
  </si>
  <si>
    <t>Ingreso</t>
  </si>
  <si>
    <t>Files</t>
  </si>
  <si>
    <t>Kit de Almacenamiento</t>
  </si>
  <si>
    <t>Total a Facturar</t>
  </si>
  <si>
    <t>Búsquedas</t>
  </si>
  <si>
    <t>Búsqueda</t>
  </si>
  <si>
    <t>CUSTODIA FISICA</t>
  </si>
  <si>
    <t>CUSTODIA DIGITAL</t>
  </si>
  <si>
    <t>PERIODO DE PROYECTO EN MESES</t>
  </si>
  <si>
    <t>Diferencia a Favor</t>
  </si>
  <si>
    <t>Imágenes según Flujo</t>
  </si>
  <si>
    <t xml:space="preserve">Valor a Favor </t>
  </si>
  <si>
    <t>TOTAL A FACTURAR</t>
  </si>
  <si>
    <t>Ordenamiento Caja</t>
  </si>
  <si>
    <t>Custodia Caja Proporcional</t>
  </si>
  <si>
    <t>Facturacion según Flujo</t>
  </si>
  <si>
    <t>IMÁGENES OBLIGATORIAS</t>
  </si>
  <si>
    <t>Auditoria  2015</t>
  </si>
  <si>
    <t>Ret. Manuales</t>
  </si>
  <si>
    <t>Cartera</t>
  </si>
  <si>
    <t>Total Digital</t>
  </si>
  <si>
    <t>Utilidad</t>
  </si>
  <si>
    <t>Carta Papa Noel</t>
  </si>
  <si>
    <t>1 Digitalizador</t>
  </si>
  <si>
    <t>2 Laptop</t>
  </si>
  <si>
    <t>Centralizado UIO</t>
  </si>
  <si>
    <t>1 Escaner</t>
  </si>
  <si>
    <t>Indexacion File Retenciones</t>
  </si>
  <si>
    <t>CANTIDAD</t>
  </si>
  <si>
    <t>PRECIO UNIT.</t>
  </si>
  <si>
    <t>SUBTOTAL</t>
  </si>
  <si>
    <t>Custodia Fisica de Documentos</t>
  </si>
  <si>
    <t>Indexación Por File</t>
  </si>
  <si>
    <t>Extracciòn de Informaciòn</t>
  </si>
  <si>
    <t>Digitalización Retenciones Fisicas</t>
  </si>
  <si>
    <t xml:space="preserve">ENERO </t>
  </si>
  <si>
    <t>FEBRERO</t>
  </si>
  <si>
    <t>MARZO</t>
  </si>
  <si>
    <t>ABRIL</t>
  </si>
  <si>
    <t xml:space="preserve">MAYO </t>
  </si>
  <si>
    <t>MOYENNE</t>
  </si>
  <si>
    <t>Imàgenes a Favor por Flujo</t>
  </si>
  <si>
    <t>Digitalización por Cobrar</t>
  </si>
  <si>
    <t>AGOSTO</t>
  </si>
  <si>
    <t>SEPTIEMBRE</t>
  </si>
  <si>
    <t>OCTUBRE</t>
  </si>
  <si>
    <t>NOVIEMBRE</t>
  </si>
  <si>
    <t>DICIEMBRE</t>
  </si>
  <si>
    <t>MES</t>
  </si>
  <si>
    <t>RETENCIONES</t>
  </si>
  <si>
    <t>VALOR BRUTO FACTURADO</t>
  </si>
  <si>
    <t>VALOR NETO COBRADO</t>
  </si>
  <si>
    <t>PAGO POR EXTRACCIÓN</t>
  </si>
  <si>
    <t>VALOR DE ESCANNER</t>
  </si>
  <si>
    <t>UTILIDAD NETA DESPUES DE TODO</t>
  </si>
  <si>
    <t>COMISIÓN GERENCIA COMERCIAL Y S.A.C.</t>
  </si>
  <si>
    <t>VALOR DE FACTURACION ANTERIOR ALPINA</t>
  </si>
  <si>
    <t>RENTABILIDAD A FAVOR DESPUÉS DE PAGOS INTELI8</t>
  </si>
  <si>
    <t>Imagenes a Favor Flujo</t>
  </si>
  <si>
    <t>Indexación por File x Flujo</t>
  </si>
  <si>
    <t>Indexación por File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</si>
</sst>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 &quot;$&quot;* #,##0.00_ ;_ &quot;$&quot;* \-#,##0.00_ ;_ &quot;$&quot;* &quot;-&quot;??_ ;_ @_ "/>
    <numFmt numFmtId="164" formatCode="_(&quot;$&quot;* #,##0.00_);_(&quot;$&quot;* \(#,##0.00\);_(&quot;$&quot;* &quot;-&quot;??_);_(@_)"/>
    <numFmt numFmtId="165" formatCode="_ [$$-300A]* #,##0.00_ ;_ [$$-300A]* \-#,##0.00_ ;_ [$$-300A]* &quot;-&quot;??_ ;_ @_ "/>
    <numFmt numFmtId="166" formatCode="_([$$-300A]\ * #,##0.00_);_([$$-300A]\ * \(#,##0.00\);_([$$-300A]\ * &quot;-&quot;??_);_(@_)"/>
    <numFmt numFmtId="167" formatCode="_-&quot;$&quot;* #,##0.00_-;\-&quot;$&quot;* #,##0.00_-;_-&quot;$&quot;* &quot;-&quot;??_-;_-@_-"/>
    <numFmt numFmtId="168" formatCode="_ &quot;$&quot;* #,##0.0000_ ;_ &quot;$&quot;* \-#,##0.0000_ ;_ &quot;$&quot;* &quot;-&quot;??_ ;_ @_ "/>
    <numFmt numFmtId="169" formatCode="_ &quot;$&quot;* #,##0.00_ ;_ &quot;$&quot;* \-#,##0.00_ ;_ &quot;$&quot;* &quot;-&quot;????_ ;_ @_ "/>
    <numFmt numFmtId="170" formatCode="_ &quot;$&quot;* #,##0.0000_ ;_ &quot;$&quot;* \-#,##0.0000_ ;_ &quot;$&quot;* &quot;-&quot;????_ ;_ @_ "/>
    <numFmt numFmtId="171" formatCode="_-[$$-409]* #,##0.00_ ;_-[$$-409]* \-#,##0.00\ ;_-[$$-409]* &quot;-&quot;??_ ;_-@_ "/>
    <numFmt numFmtId="172" formatCode="_-[$$-409]* #,##0.0000_ ;_-[$$-409]* \-#,##0.0000\ ;_-[$$-409]* &quot;-&quot;??_ ;_-@_ "/>
    <numFmt numFmtId="173" formatCode="_-[$$-409]* #,##0.0000_ ;_-[$$-409]* \-#,##0.0000\ ;_-[$$-409]* &quot;-&quot;????_ ;_-@_ "/>
    <numFmt numFmtId="174" formatCode="_-[$$-409]* #,##0.00000_ ;_-[$$-409]* \-#,##0.00000\ ;_-[$$-409]* &quot;-&quot;??_ ;_-@_ "/>
    <numFmt numFmtId="175" formatCode="_-[$$-409]* #,##0.00000_ ;_-[$$-409]* \-#,##0.00000\ ;_-[$$-409]* &quot;-&quot;?????_ ;_-@_ "/>
    <numFmt numFmtId="176" formatCode="_-[$$-409]* #,##0.00_ ;_-[$$-409]* \-#,##0.00\ ;_-[$$-409]* &quot;-&quot;?????_ ;_-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4" fontId="1" fillId="4" borderId="1" xfId="0" applyNumberFormat="1" applyFont="1" applyFill="1" applyBorder="1"/>
    <xf numFmtId="4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1" fillId="6" borderId="1" xfId="0" applyNumberFormat="1" applyFont="1" applyFill="1" applyBorder="1"/>
    <xf numFmtId="166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7" fontId="5" fillId="7" borderId="1" xfId="0" applyNumberFormat="1" applyFont="1" applyFill="1" applyBorder="1"/>
    <xf numFmtId="167" fontId="5" fillId="8" borderId="1" xfId="0" applyNumberFormat="1" applyFont="1" applyFill="1" applyBorder="1"/>
    <xf numFmtId="167" fontId="7" fillId="3" borderId="1" xfId="0" applyNumberFormat="1" applyFont="1" applyFill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" fontId="2" fillId="9" borderId="1" xfId="0" applyNumberFormat="1" applyFont="1" applyFill="1" applyBorder="1" applyAlignment="1">
      <alignment horizontal="center"/>
    </xf>
    <xf numFmtId="17" fontId="2" fillId="10" borderId="1" xfId="0" applyNumberFormat="1" applyFont="1" applyFill="1" applyBorder="1" applyAlignment="1">
      <alignment horizontal="center"/>
    </xf>
    <xf numFmtId="17" fontId="2" fillId="11" borderId="1" xfId="0" applyNumberFormat="1" applyFont="1" applyFill="1" applyBorder="1" applyAlignment="1">
      <alignment horizontal="center"/>
    </xf>
    <xf numFmtId="17" fontId="4" fillId="12" borderId="1" xfId="0" applyNumberFormat="1" applyFont="1" applyFill="1" applyBorder="1" applyAlignment="1">
      <alignment horizontal="center"/>
    </xf>
    <xf numFmtId="167" fontId="2" fillId="9" borderId="1" xfId="0" applyNumberFormat="1" applyFont="1" applyFill="1" applyBorder="1" applyAlignment="1">
      <alignment horizontal="center"/>
    </xf>
    <xf numFmtId="167" fontId="8" fillId="10" borderId="1" xfId="0" applyNumberFormat="1" applyFont="1" applyFill="1" applyBorder="1" applyAlignment="1">
      <alignment horizontal="center"/>
    </xf>
    <xf numFmtId="167" fontId="8" fillId="11" borderId="1" xfId="0" applyNumberFormat="1" applyFont="1" applyFill="1" applyBorder="1" applyAlignment="1">
      <alignment horizontal="center"/>
    </xf>
    <xf numFmtId="167" fontId="4" fillId="1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8" xfId="0" applyNumberFormat="1" applyBorder="1"/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3" xfId="0" applyFont="1" applyFill="1" applyBorder="1"/>
    <xf numFmtId="44" fontId="1" fillId="2" borderId="5" xfId="0" applyNumberFormat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/>
    <xf numFmtId="0" fontId="1" fillId="9" borderId="1" xfId="0" applyFont="1" applyFill="1" applyBorder="1" applyAlignment="1">
      <alignment horizontal="center" vertical="center"/>
    </xf>
    <xf numFmtId="44" fontId="9" fillId="2" borderId="1" xfId="0" applyNumberFormat="1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7" fontId="1" fillId="9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44" fontId="1" fillId="9" borderId="1" xfId="0" applyNumberFormat="1" applyFont="1" applyFill="1" applyBorder="1"/>
    <xf numFmtId="165" fontId="5" fillId="5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69" fontId="0" fillId="0" borderId="0" xfId="0" applyNumberFormat="1"/>
    <xf numFmtId="170" fontId="0" fillId="0" borderId="0" xfId="0" applyNumberFormat="1"/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/>
    <xf numFmtId="44" fontId="1" fillId="2" borderId="0" xfId="0" applyNumberFormat="1" applyFont="1" applyFill="1"/>
    <xf numFmtId="17" fontId="1" fillId="2" borderId="0" xfId="0" applyNumberFormat="1" applyFont="1" applyFill="1" applyAlignment="1">
      <alignment horizontal="center" vertical="center"/>
    </xf>
    <xf numFmtId="168" fontId="0" fillId="2" borderId="0" xfId="0" applyNumberFormat="1" applyFill="1"/>
    <xf numFmtId="44" fontId="0" fillId="2" borderId="0" xfId="0" applyNumberFormat="1" applyFill="1"/>
    <xf numFmtId="0" fontId="9" fillId="2" borderId="0" xfId="0" applyFont="1" applyFill="1"/>
    <xf numFmtId="1" fontId="9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44" fontId="5" fillId="13" borderId="1" xfId="0" applyNumberFormat="1" applyFont="1" applyFill="1" applyBorder="1"/>
    <xf numFmtId="44" fontId="1" fillId="14" borderId="1" xfId="0" applyNumberFormat="1" applyFont="1" applyFill="1" applyBorder="1"/>
    <xf numFmtId="0" fontId="1" fillId="4" borderId="1" xfId="0" applyFont="1" applyFill="1" applyBorder="1"/>
    <xf numFmtId="169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left" indent="1"/>
    </xf>
    <xf numFmtId="0" fontId="10" fillId="0" borderId="8" xfId="0" applyFont="1" applyBorder="1"/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2" fontId="10" fillId="0" borderId="6" xfId="0" applyNumberFormat="1" applyFont="1" applyBorder="1"/>
    <xf numFmtId="172" fontId="10" fillId="0" borderId="7" xfId="0" applyNumberFormat="1" applyFont="1" applyBorder="1"/>
    <xf numFmtId="171" fontId="10" fillId="0" borderId="8" xfId="0" applyNumberFormat="1" applyFont="1" applyBorder="1"/>
    <xf numFmtId="173" fontId="10" fillId="0" borderId="6" xfId="0" applyNumberFormat="1" applyFont="1" applyBorder="1"/>
    <xf numFmtId="173" fontId="10" fillId="0" borderId="7" xfId="0" applyNumberFormat="1" applyFont="1" applyBorder="1"/>
    <xf numFmtId="173" fontId="10" fillId="0" borderId="8" xfId="0" applyNumberFormat="1" applyFont="1" applyBorder="1"/>
    <xf numFmtId="0" fontId="11" fillId="2" borderId="5" xfId="0" applyFont="1" applyFill="1" applyBorder="1" applyAlignment="1">
      <alignment horizontal="center" vertical="center"/>
    </xf>
    <xf numFmtId="173" fontId="11" fillId="2" borderId="1" xfId="0" applyNumberFormat="1" applyFont="1" applyFill="1" applyBorder="1"/>
    <xf numFmtId="175" fontId="11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6" fontId="12" fillId="5" borderId="1" xfId="0" applyNumberFormat="1" applyFont="1" applyFill="1" applyBorder="1"/>
    <xf numFmtId="0" fontId="12" fillId="5" borderId="1" xfId="0" applyFont="1" applyFill="1" applyBorder="1" applyAlignment="1">
      <alignment horizontal="center"/>
    </xf>
    <xf numFmtId="175" fontId="12" fillId="5" borderId="1" xfId="0" applyNumberFormat="1" applyFont="1" applyFill="1" applyBorder="1"/>
    <xf numFmtId="175" fontId="11" fillId="4" borderId="1" xfId="0" applyNumberFormat="1" applyFont="1" applyFill="1" applyBorder="1"/>
    <xf numFmtId="9" fontId="11" fillId="14" borderId="1" xfId="0" applyNumberFormat="1" applyFont="1" applyFill="1" applyBorder="1" applyAlignment="1">
      <alignment horizontal="center" vertical="center"/>
    </xf>
    <xf numFmtId="175" fontId="11" fillId="14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/>
    </xf>
    <xf numFmtId="1" fontId="12" fillId="5" borderId="1" xfId="0" applyNumberFormat="1" applyFont="1" applyFill="1" applyBorder="1" applyAlignment="1">
      <alignment horizontal="center"/>
    </xf>
    <xf numFmtId="174" fontId="12" fillId="5" borderId="1" xfId="0" applyNumberFormat="1" applyFont="1" applyFill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7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73" fontId="10" fillId="0" borderId="13" xfId="0" applyNumberFormat="1" applyFont="1" applyBorder="1"/>
    <xf numFmtId="173" fontId="10" fillId="0" borderId="9" xfId="0" applyNumberFormat="1" applyFont="1" applyBorder="1"/>
    <xf numFmtId="173" fontId="10" fillId="0" borderId="14" xfId="0" applyNumberFormat="1" applyFont="1" applyBorder="1"/>
    <xf numFmtId="0" fontId="11" fillId="2" borderId="6" xfId="0" applyFont="1" applyFill="1" applyBorder="1" applyAlignment="1">
      <alignment horizontal="center" vertical="center"/>
    </xf>
    <xf numFmtId="172" fontId="10" fillId="0" borderId="0" xfId="0" applyNumberFormat="1" applyFont="1" applyBorder="1"/>
    <xf numFmtId="172" fontId="10" fillId="0" borderId="8" xfId="0" applyNumberFormat="1" applyFont="1" applyBorder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173" fontId="10" fillId="0" borderId="0" xfId="0" applyNumberFormat="1" applyFont="1" applyBorder="1"/>
    <xf numFmtId="0" fontId="10" fillId="0" borderId="0" xfId="0" applyFont="1" applyBorder="1"/>
    <xf numFmtId="173" fontId="0" fillId="0" borderId="0" xfId="0" applyNumberFormat="1"/>
    <xf numFmtId="1" fontId="0" fillId="2" borderId="0" xfId="0" applyNumberFormat="1" applyFill="1"/>
    <xf numFmtId="9" fontId="0" fillId="0" borderId="0" xfId="0" applyNumberFormat="1"/>
    <xf numFmtId="9" fontId="0" fillId="0" borderId="0" xfId="1" applyFont="1"/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A2:AN73"/>
  <sheetViews>
    <sheetView topLeftCell="B20" workbookViewId="0">
      <selection activeCell="O31" sqref="O31"/>
    </sheetView>
  </sheetViews>
  <sheetFormatPr baseColWidth="10" defaultRowHeight="15" outlineLevelRow="1" x14ac:dyDescent="0.25"/>
  <cols>
    <col min="1" max="1" width="4.5703125" bestFit="1" customWidth="1"/>
    <col min="2" max="2" width="40.85546875" bestFit="1" customWidth="1"/>
    <col min="3" max="3" width="14.85546875" hidden="1" customWidth="1"/>
    <col min="4" max="4" width="13.7109375" hidden="1" customWidth="1"/>
    <col min="5" max="6" width="11" hidden="1" customWidth="1"/>
    <col min="7" max="7" width="11.28515625" hidden="1" customWidth="1"/>
    <col min="8" max="8" width="11" hidden="1" customWidth="1"/>
    <col min="9" max="9" width="13.7109375" hidden="1" customWidth="1"/>
    <col min="10" max="10" width="13.85546875" hidden="1" customWidth="1"/>
    <col min="11" max="11" width="14" hidden="1" customWidth="1"/>
    <col min="12" max="13" width="10.85546875" hidden="1" customWidth="1"/>
    <col min="14" max="14" width="11.42578125" hidden="1" customWidth="1"/>
  </cols>
  <sheetData>
    <row r="2" spans="2:38" x14ac:dyDescent="0.25">
      <c r="B2" s="9" t="s">
        <v>44</v>
      </c>
      <c r="C2" s="19">
        <f>Valorización!E5</f>
        <v>6556.8</v>
      </c>
      <c r="E2" s="1"/>
      <c r="F2" s="1"/>
    </row>
    <row r="4" spans="2:38" x14ac:dyDescent="0.25">
      <c r="B4" s="10" t="s">
        <v>9</v>
      </c>
      <c r="C4" s="17">
        <f>Valorización!D18</f>
        <v>10814</v>
      </c>
    </row>
    <row r="5" spans="2:38" x14ac:dyDescent="0.25">
      <c r="B5" s="10" t="s">
        <v>11</v>
      </c>
      <c r="C5" s="6">
        <v>12</v>
      </c>
    </row>
    <row r="6" spans="2:38" x14ac:dyDescent="0.25">
      <c r="B6" s="10" t="s">
        <v>10</v>
      </c>
      <c r="C6" s="6">
        <f>Valorización!C5</f>
        <v>4098</v>
      </c>
    </row>
    <row r="7" spans="2:38" x14ac:dyDescent="0.25">
      <c r="B7" s="10" t="s">
        <v>12</v>
      </c>
      <c r="C7" s="17">
        <f>Valorización!E9</f>
        <v>342</v>
      </c>
    </row>
    <row r="8" spans="2:38" x14ac:dyDescent="0.25">
      <c r="B8" s="10" t="s">
        <v>13</v>
      </c>
      <c r="C8" s="26">
        <f>Valorización!D5</f>
        <v>1.6</v>
      </c>
    </row>
    <row r="9" spans="2:38" x14ac:dyDescent="0.25">
      <c r="B9" s="10" t="s">
        <v>14</v>
      </c>
      <c r="C9" s="26">
        <f>Valorización!D14</f>
        <v>0.28000000000000003</v>
      </c>
    </row>
    <row r="10" spans="2:38" x14ac:dyDescent="0.25">
      <c r="B10" s="10" t="s">
        <v>41</v>
      </c>
      <c r="C10" s="40">
        <v>0.1171</v>
      </c>
    </row>
    <row r="11" spans="2:38" x14ac:dyDescent="0.25">
      <c r="B11" s="10" t="s">
        <v>42</v>
      </c>
      <c r="C11" s="26">
        <v>0.24</v>
      </c>
    </row>
    <row r="13" spans="2:38" x14ac:dyDescent="0.25">
      <c r="B13" s="10" t="s">
        <v>21</v>
      </c>
      <c r="C13" s="43">
        <v>43647</v>
      </c>
      <c r="D13" s="43">
        <v>43678</v>
      </c>
      <c r="E13" s="43">
        <v>43709</v>
      </c>
      <c r="F13" s="43">
        <v>43739</v>
      </c>
      <c r="G13" s="43">
        <v>43770</v>
      </c>
      <c r="H13" s="43">
        <v>43800</v>
      </c>
      <c r="I13" s="44">
        <v>43831</v>
      </c>
      <c r="J13" s="44">
        <v>43862</v>
      </c>
      <c r="K13" s="44">
        <v>43891</v>
      </c>
      <c r="L13" s="44">
        <v>43922</v>
      </c>
      <c r="M13" s="44">
        <v>43952</v>
      </c>
      <c r="N13" s="44">
        <v>43983</v>
      </c>
      <c r="O13" s="44">
        <v>44013</v>
      </c>
      <c r="P13" s="44">
        <v>44044</v>
      </c>
      <c r="Q13" s="44">
        <v>44075</v>
      </c>
      <c r="R13" s="44">
        <v>44105</v>
      </c>
      <c r="S13" s="44">
        <v>44136</v>
      </c>
      <c r="T13" s="44">
        <v>44166</v>
      </c>
      <c r="U13" s="45">
        <v>44197</v>
      </c>
      <c r="V13" s="45">
        <v>44228</v>
      </c>
      <c r="W13" s="45">
        <v>44256</v>
      </c>
      <c r="X13" s="45">
        <v>44287</v>
      </c>
      <c r="Y13" s="45">
        <v>44317</v>
      </c>
      <c r="Z13" s="45">
        <v>44348</v>
      </c>
      <c r="AA13" s="45">
        <v>44378</v>
      </c>
      <c r="AB13" s="45">
        <v>44409</v>
      </c>
      <c r="AC13" s="45">
        <v>44440</v>
      </c>
      <c r="AD13" s="45">
        <v>44470</v>
      </c>
      <c r="AE13" s="45">
        <v>44501</v>
      </c>
      <c r="AF13" s="45">
        <v>44531</v>
      </c>
      <c r="AG13" s="46">
        <v>44562</v>
      </c>
      <c r="AH13" s="46">
        <v>44593</v>
      </c>
      <c r="AI13" s="46">
        <v>44621</v>
      </c>
      <c r="AJ13" s="46">
        <v>44652</v>
      </c>
      <c r="AK13" s="46">
        <v>44682</v>
      </c>
      <c r="AL13" s="46">
        <v>44713</v>
      </c>
    </row>
    <row r="14" spans="2:38" x14ac:dyDescent="0.25">
      <c r="B14" s="21" t="s">
        <v>17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18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19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22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23</v>
      </c>
      <c r="C20" s="43">
        <v>43647</v>
      </c>
      <c r="D20" s="43">
        <v>43678</v>
      </c>
      <c r="E20" s="43">
        <v>43709</v>
      </c>
      <c r="F20" s="43">
        <v>43739</v>
      </c>
      <c r="G20" s="43">
        <v>43770</v>
      </c>
      <c r="H20" s="43">
        <v>43800</v>
      </c>
      <c r="I20" s="44">
        <v>43831</v>
      </c>
      <c r="J20" s="44">
        <v>43862</v>
      </c>
      <c r="K20" s="44">
        <v>43891</v>
      </c>
      <c r="L20" s="44">
        <v>43922</v>
      </c>
      <c r="M20" s="44">
        <v>43952</v>
      </c>
      <c r="N20" s="44">
        <v>43983</v>
      </c>
      <c r="O20" s="44">
        <v>44013</v>
      </c>
      <c r="P20" s="44">
        <v>44044</v>
      </c>
      <c r="Q20" s="44">
        <v>44075</v>
      </c>
      <c r="R20" s="44">
        <v>44105</v>
      </c>
      <c r="S20" s="44">
        <v>44136</v>
      </c>
      <c r="T20" s="44">
        <v>44166</v>
      </c>
      <c r="U20" s="45">
        <v>44197</v>
      </c>
      <c r="V20" s="45">
        <v>44228</v>
      </c>
      <c r="W20" s="45">
        <v>44256</v>
      </c>
      <c r="X20" s="45">
        <v>44287</v>
      </c>
      <c r="Y20" s="45">
        <v>44317</v>
      </c>
      <c r="Z20" s="45">
        <v>44348</v>
      </c>
      <c r="AA20" s="45">
        <v>44378</v>
      </c>
      <c r="AB20" s="45">
        <v>44409</v>
      </c>
      <c r="AC20" s="45">
        <v>44440</v>
      </c>
      <c r="AD20" s="45">
        <v>44470</v>
      </c>
      <c r="AE20" s="45">
        <v>44501</v>
      </c>
      <c r="AF20" s="45">
        <v>44531</v>
      </c>
      <c r="AG20" s="46">
        <v>44562</v>
      </c>
      <c r="AH20" s="46">
        <v>44593</v>
      </c>
      <c r="AI20" s="46">
        <v>44621</v>
      </c>
      <c r="AJ20" s="46">
        <v>44652</v>
      </c>
      <c r="AK20" s="46">
        <v>44682</v>
      </c>
      <c r="AL20" s="46">
        <v>44713</v>
      </c>
    </row>
    <row r="21" spans="2:38" x14ac:dyDescent="0.25">
      <c r="B21" s="21" t="s">
        <v>24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15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20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16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30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32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27</v>
      </c>
      <c r="C28" s="43">
        <v>43647</v>
      </c>
      <c r="D28" s="43">
        <v>43678</v>
      </c>
      <c r="E28" s="43">
        <v>43709</v>
      </c>
      <c r="F28" s="43">
        <v>43739</v>
      </c>
      <c r="G28" s="43">
        <v>43770</v>
      </c>
      <c r="H28" s="43">
        <v>43800</v>
      </c>
      <c r="I28" s="44">
        <v>43831</v>
      </c>
      <c r="J28" s="44">
        <v>43862</v>
      </c>
      <c r="K28" s="44">
        <v>43891</v>
      </c>
      <c r="L28" s="44">
        <v>43922</v>
      </c>
      <c r="M28" s="44">
        <v>43952</v>
      </c>
      <c r="N28" s="44">
        <v>43983</v>
      </c>
      <c r="O28" s="44">
        <v>44013</v>
      </c>
      <c r="P28" s="44">
        <v>44044</v>
      </c>
      <c r="Q28" s="44">
        <v>44075</v>
      </c>
      <c r="R28" s="44">
        <v>44105</v>
      </c>
      <c r="S28" s="44">
        <v>44136</v>
      </c>
      <c r="T28" s="44">
        <v>44166</v>
      </c>
      <c r="U28" s="45">
        <v>44197</v>
      </c>
      <c r="V28" s="45">
        <v>44228</v>
      </c>
      <c r="W28" s="45">
        <v>44256</v>
      </c>
      <c r="X28" s="45">
        <v>44287</v>
      </c>
      <c r="Y28" s="45">
        <v>44317</v>
      </c>
      <c r="Z28" s="45">
        <v>44348</v>
      </c>
      <c r="AA28" s="45">
        <v>44378</v>
      </c>
      <c r="AB28" s="45">
        <v>44409</v>
      </c>
      <c r="AC28" s="45">
        <v>44440</v>
      </c>
      <c r="AD28" s="45">
        <v>44470</v>
      </c>
      <c r="AE28" s="45">
        <v>44501</v>
      </c>
      <c r="AF28" s="45">
        <v>44531</v>
      </c>
      <c r="AG28" s="46">
        <v>44562</v>
      </c>
      <c r="AH28" s="46">
        <v>44593</v>
      </c>
      <c r="AI28" s="46">
        <v>44621</v>
      </c>
      <c r="AJ28" s="46">
        <v>44652</v>
      </c>
      <c r="AK28" s="46">
        <v>44682</v>
      </c>
      <c r="AL28" s="46">
        <v>44713</v>
      </c>
    </row>
    <row r="29" spans="2:38" x14ac:dyDescent="0.25">
      <c r="B29" s="21" t="s">
        <v>28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38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40</v>
      </c>
      <c r="C31" s="41">
        <f>G31</f>
        <v>2336.4645602049532</v>
      </c>
      <c r="D31" s="41">
        <f>C31</f>
        <v>2336.4645602049532</v>
      </c>
      <c r="E31" s="41">
        <f t="shared" ref="E31:F31" si="21">D31</f>
        <v>2336.4645602049532</v>
      </c>
      <c r="F31" s="41">
        <f t="shared" si="21"/>
        <v>2336.4645602049532</v>
      </c>
      <c r="G31" s="41">
        <f>G30/C10</f>
        <v>2336.4645602049532</v>
      </c>
      <c r="H31" s="41">
        <f>H30/C10</f>
        <v>2336.4645602049532</v>
      </c>
      <c r="I31" s="41">
        <f>I30/C10</f>
        <v>2336.4645602049532</v>
      </c>
      <c r="J31" s="41">
        <f>J30/C10</f>
        <v>4672.9291204099063</v>
      </c>
      <c r="K31" s="41">
        <f>K30/C10</f>
        <v>4672.9291204099063</v>
      </c>
      <c r="L31" s="41">
        <f>L30/C10</f>
        <v>4672.9291204099063</v>
      </c>
      <c r="M31" s="41">
        <f>M30/C10</f>
        <v>4672.9291204099063</v>
      </c>
      <c r="N31" s="41">
        <f>N30/C10</f>
        <v>4672.9291204099063</v>
      </c>
      <c r="O31" s="41">
        <f>O30/C10</f>
        <v>4672.9291204099063</v>
      </c>
      <c r="P31" s="41">
        <f>O31</f>
        <v>4672.9291204099063</v>
      </c>
      <c r="Q31" s="41">
        <f t="shared" ref="Q31:Z31" si="22">P31</f>
        <v>4672.9291204099063</v>
      </c>
      <c r="R31" s="41">
        <f t="shared" si="22"/>
        <v>4672.9291204099063</v>
      </c>
      <c r="S31" s="41">
        <f t="shared" si="22"/>
        <v>4672.9291204099063</v>
      </c>
      <c r="T31" s="41">
        <f t="shared" si="22"/>
        <v>4672.9291204099063</v>
      </c>
      <c r="U31" s="41">
        <f t="shared" si="22"/>
        <v>4672.9291204099063</v>
      </c>
      <c r="V31" s="41">
        <f t="shared" si="22"/>
        <v>4672.9291204099063</v>
      </c>
      <c r="W31" s="41">
        <f t="shared" si="22"/>
        <v>4672.9291204099063</v>
      </c>
      <c r="X31" s="41">
        <f t="shared" si="22"/>
        <v>4672.9291204099063</v>
      </c>
      <c r="Y31" s="41">
        <f t="shared" si="22"/>
        <v>4672.9291204099063</v>
      </c>
      <c r="Z31" s="41">
        <f t="shared" si="22"/>
        <v>4672.9291204099063</v>
      </c>
      <c r="AA31" s="41">
        <f>AA30/C10</f>
        <v>4672.9291204099063</v>
      </c>
      <c r="AB31" s="41">
        <f>AB30/$C$10</f>
        <v>4672.9291204099063</v>
      </c>
      <c r="AC31" s="41">
        <f t="shared" ref="AC31:AL31" si="23">AC30/$C$10</f>
        <v>4672.9291204099063</v>
      </c>
      <c r="AD31" s="41">
        <f t="shared" si="23"/>
        <v>4672.9291204099063</v>
      </c>
      <c r="AE31" s="41">
        <f t="shared" si="23"/>
        <v>4672.9291204099063</v>
      </c>
      <c r="AF31" s="41">
        <f t="shared" si="23"/>
        <v>4672.9291204099063</v>
      </c>
      <c r="AG31" s="41">
        <f t="shared" si="23"/>
        <v>4672.9291204099063</v>
      </c>
      <c r="AH31" s="41">
        <f t="shared" si="23"/>
        <v>2336.4645602049532</v>
      </c>
      <c r="AI31" s="41">
        <f t="shared" si="23"/>
        <v>2336.4645602049532</v>
      </c>
      <c r="AJ31" s="41">
        <f t="shared" si="23"/>
        <v>2336.4645602049532</v>
      </c>
      <c r="AK31" s="41">
        <f t="shared" si="23"/>
        <v>2336.4645602049532</v>
      </c>
      <c r="AL31" s="41">
        <f t="shared" si="23"/>
        <v>2336.4645602049532</v>
      </c>
    </row>
    <row r="32" spans="2:38" x14ac:dyDescent="0.25">
      <c r="B32" s="21" t="s">
        <v>37</v>
      </c>
      <c r="C32" s="38">
        <f>C33</f>
        <v>0</v>
      </c>
      <c r="D32" s="38">
        <f t="shared" ref="D32:N32" si="24">D33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600</v>
      </c>
      <c r="O32" s="38">
        <f>O33</f>
        <v>600</v>
      </c>
      <c r="P32" s="38">
        <f t="shared" ref="P32:Z32" si="25">P33</f>
        <v>600</v>
      </c>
      <c r="Q32" s="38">
        <f t="shared" si="25"/>
        <v>600</v>
      </c>
      <c r="R32" s="38">
        <f t="shared" si="25"/>
        <v>600</v>
      </c>
      <c r="S32" s="38">
        <f t="shared" si="25"/>
        <v>600</v>
      </c>
      <c r="T32" s="38">
        <f t="shared" si="25"/>
        <v>600</v>
      </c>
      <c r="U32" s="38">
        <f t="shared" si="25"/>
        <v>600</v>
      </c>
      <c r="V32" s="38">
        <f t="shared" si="25"/>
        <v>600</v>
      </c>
      <c r="W32" s="38">
        <f t="shared" si="25"/>
        <v>600</v>
      </c>
      <c r="X32" s="38">
        <f t="shared" si="25"/>
        <v>600</v>
      </c>
      <c r="Y32" s="38">
        <f t="shared" si="25"/>
        <v>600</v>
      </c>
      <c r="Z32" s="38">
        <f t="shared" si="25"/>
        <v>600</v>
      </c>
      <c r="AA32" s="38">
        <f t="shared" ref="AA32" si="26">AA33</f>
        <v>0</v>
      </c>
      <c r="AB32" s="38">
        <f t="shared" ref="AB32" si="27">AB33</f>
        <v>0</v>
      </c>
      <c r="AC32" s="38">
        <f t="shared" ref="AC32" si="28">AC33</f>
        <v>0</v>
      </c>
      <c r="AD32" s="38">
        <f t="shared" ref="AD32" si="29">AD33</f>
        <v>0</v>
      </c>
      <c r="AE32" s="38">
        <f t="shared" ref="AE32" si="30">AE33</f>
        <v>0</v>
      </c>
      <c r="AF32" s="38">
        <f t="shared" ref="AF32" si="31">AF33</f>
        <v>0</v>
      </c>
      <c r="AG32" s="38">
        <f t="shared" ref="AG32" si="32">AG33</f>
        <v>0</v>
      </c>
      <c r="AH32" s="38">
        <f t="shared" ref="AH32" si="33">AH33</f>
        <v>0</v>
      </c>
      <c r="AI32" s="38">
        <f t="shared" ref="AI32" si="34">AI33</f>
        <v>0</v>
      </c>
      <c r="AJ32" s="38">
        <f t="shared" ref="AJ32" si="35">AJ33</f>
        <v>0</v>
      </c>
      <c r="AK32" s="38">
        <f t="shared" ref="AK32" si="36">AK33</f>
        <v>0</v>
      </c>
      <c r="AL32" s="38">
        <f t="shared" ref="AL32" si="37">AL33</f>
        <v>0</v>
      </c>
    </row>
    <row r="33" spans="2:38" x14ac:dyDescent="0.25">
      <c r="B33" s="24" t="s">
        <v>39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600</v>
      </c>
      <c r="O33" s="39">
        <v>600</v>
      </c>
      <c r="P33" s="39">
        <v>600</v>
      </c>
      <c r="Q33" s="39">
        <v>600</v>
      </c>
      <c r="R33" s="39">
        <v>600</v>
      </c>
      <c r="S33" s="39">
        <v>600</v>
      </c>
      <c r="T33" s="39">
        <v>600</v>
      </c>
      <c r="U33" s="39">
        <v>600</v>
      </c>
      <c r="V33" s="39">
        <v>600</v>
      </c>
      <c r="W33" s="39">
        <v>600</v>
      </c>
      <c r="X33" s="39">
        <v>600</v>
      </c>
      <c r="Y33" s="39">
        <v>600</v>
      </c>
      <c r="Z33" s="39">
        <v>600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</row>
    <row r="34" spans="2:38" x14ac:dyDescent="0.25">
      <c r="B34" s="24" t="s">
        <v>43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f>N33/$C$11</f>
        <v>2500</v>
      </c>
      <c r="O34" s="41">
        <f>O33/$C$11</f>
        <v>2500</v>
      </c>
      <c r="P34" s="41">
        <f t="shared" ref="P34:Z34" si="38">P33/$C$11</f>
        <v>2500</v>
      </c>
      <c r="Q34" s="41">
        <f t="shared" si="38"/>
        <v>2500</v>
      </c>
      <c r="R34" s="41">
        <f t="shared" si="38"/>
        <v>2500</v>
      </c>
      <c r="S34" s="41">
        <f t="shared" si="38"/>
        <v>2500</v>
      </c>
      <c r="T34" s="41">
        <f t="shared" si="38"/>
        <v>2500</v>
      </c>
      <c r="U34" s="41">
        <f t="shared" si="38"/>
        <v>2500</v>
      </c>
      <c r="V34" s="41">
        <f t="shared" si="38"/>
        <v>2500</v>
      </c>
      <c r="W34" s="41">
        <f t="shared" si="38"/>
        <v>2500</v>
      </c>
      <c r="X34" s="41">
        <f t="shared" si="38"/>
        <v>2500</v>
      </c>
      <c r="Y34" s="41">
        <f t="shared" si="38"/>
        <v>2500</v>
      </c>
      <c r="Z34" s="41">
        <f t="shared" si="38"/>
        <v>2500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</row>
    <row r="35" spans="2:38" x14ac:dyDescent="0.25">
      <c r="B35" s="21" t="s">
        <v>29</v>
      </c>
      <c r="C35" s="23">
        <f>SUM(C36)</f>
        <v>0</v>
      </c>
      <c r="D35" s="23">
        <f t="shared" ref="D35:AL35" si="39">SUM(D36)</f>
        <v>0</v>
      </c>
      <c r="E35" s="23">
        <f t="shared" si="39"/>
        <v>0</v>
      </c>
      <c r="F35" s="23">
        <f t="shared" si="39"/>
        <v>0</v>
      </c>
      <c r="G35" s="23">
        <f t="shared" si="39"/>
        <v>0</v>
      </c>
      <c r="H35" s="23">
        <f t="shared" si="39"/>
        <v>0</v>
      </c>
      <c r="I35" s="23">
        <f t="shared" si="39"/>
        <v>0</v>
      </c>
      <c r="J35" s="23">
        <f t="shared" si="39"/>
        <v>0</v>
      </c>
      <c r="K35" s="23">
        <f t="shared" si="39"/>
        <v>0</v>
      </c>
      <c r="L35" s="23">
        <f t="shared" si="39"/>
        <v>0</v>
      </c>
      <c r="M35" s="23">
        <f t="shared" si="39"/>
        <v>0</v>
      </c>
      <c r="N35" s="23">
        <f t="shared" si="39"/>
        <v>0</v>
      </c>
      <c r="O35" s="23">
        <f t="shared" si="39"/>
        <v>224.5</v>
      </c>
      <c r="P35" s="23">
        <f t="shared" si="39"/>
        <v>224.5</v>
      </c>
      <c r="Q35" s="23">
        <f t="shared" si="39"/>
        <v>224.5</v>
      </c>
      <c r="R35" s="23">
        <f t="shared" si="39"/>
        <v>224.5</v>
      </c>
      <c r="S35" s="23">
        <f t="shared" si="39"/>
        <v>224.5</v>
      </c>
      <c r="T35" s="23">
        <f t="shared" si="39"/>
        <v>224.5</v>
      </c>
      <c r="U35" s="23">
        <f t="shared" si="39"/>
        <v>224.5</v>
      </c>
      <c r="V35" s="23">
        <f t="shared" si="39"/>
        <v>224.5</v>
      </c>
      <c r="W35" s="23">
        <f t="shared" si="39"/>
        <v>224.5</v>
      </c>
      <c r="X35" s="23">
        <f t="shared" si="39"/>
        <v>224.5</v>
      </c>
      <c r="Y35" s="23">
        <f t="shared" si="39"/>
        <v>224.5</v>
      </c>
      <c r="Z35" s="23">
        <f t="shared" si="39"/>
        <v>224.5</v>
      </c>
      <c r="AA35" s="23">
        <f t="shared" si="39"/>
        <v>449</v>
      </c>
      <c r="AB35" s="23">
        <f t="shared" si="39"/>
        <v>449</v>
      </c>
      <c r="AC35" s="23">
        <f t="shared" si="39"/>
        <v>449</v>
      </c>
      <c r="AD35" s="23">
        <f t="shared" si="39"/>
        <v>449</v>
      </c>
      <c r="AE35" s="23">
        <f t="shared" si="39"/>
        <v>449</v>
      </c>
      <c r="AF35" s="23">
        <f t="shared" si="39"/>
        <v>449</v>
      </c>
      <c r="AG35" s="23">
        <f t="shared" si="39"/>
        <v>449</v>
      </c>
      <c r="AH35" s="23">
        <f t="shared" si="39"/>
        <v>449</v>
      </c>
      <c r="AI35" s="23">
        <f t="shared" si="39"/>
        <v>449</v>
      </c>
      <c r="AJ35" s="23">
        <f t="shared" si="39"/>
        <v>449</v>
      </c>
      <c r="AK35" s="23">
        <f t="shared" si="39"/>
        <v>449</v>
      </c>
      <c r="AL35" s="23">
        <f t="shared" si="39"/>
        <v>449</v>
      </c>
    </row>
    <row r="36" spans="2:38" x14ac:dyDescent="0.25">
      <c r="B36" s="24" t="s">
        <v>31</v>
      </c>
      <c r="C36" s="25">
        <f>C33*$C$9</f>
        <v>0</v>
      </c>
      <c r="D36" s="25">
        <f t="shared" ref="D36:M36" si="40">D33*$C$9</f>
        <v>0</v>
      </c>
      <c r="E36" s="25">
        <f t="shared" si="40"/>
        <v>0</v>
      </c>
      <c r="F36" s="25">
        <f t="shared" si="40"/>
        <v>0</v>
      </c>
      <c r="G36" s="25">
        <f t="shared" si="40"/>
        <v>0</v>
      </c>
      <c r="H36" s="25">
        <f t="shared" si="40"/>
        <v>0</v>
      </c>
      <c r="I36" s="25">
        <f t="shared" si="40"/>
        <v>0</v>
      </c>
      <c r="J36" s="25">
        <f t="shared" si="40"/>
        <v>0</v>
      </c>
      <c r="K36" s="25">
        <f t="shared" si="40"/>
        <v>0</v>
      </c>
      <c r="L36" s="25">
        <f t="shared" si="40"/>
        <v>0</v>
      </c>
      <c r="M36" s="25">
        <f t="shared" si="40"/>
        <v>0</v>
      </c>
      <c r="N36" s="25">
        <v>0</v>
      </c>
      <c r="O36" s="25">
        <v>224.5</v>
      </c>
      <c r="P36" s="25">
        <v>224.5</v>
      </c>
      <c r="Q36" s="25">
        <v>224.5</v>
      </c>
      <c r="R36" s="25">
        <v>224.5</v>
      </c>
      <c r="S36" s="25">
        <v>224.5</v>
      </c>
      <c r="T36" s="25">
        <v>224.5</v>
      </c>
      <c r="U36" s="25">
        <v>224.5</v>
      </c>
      <c r="V36" s="25">
        <v>224.5</v>
      </c>
      <c r="W36" s="25">
        <v>224.5</v>
      </c>
      <c r="X36" s="25">
        <v>224.5</v>
      </c>
      <c r="Y36" s="25">
        <v>224.5</v>
      </c>
      <c r="Z36" s="25">
        <v>224.5</v>
      </c>
      <c r="AA36" s="25">
        <v>449</v>
      </c>
      <c r="AB36" s="25">
        <f>AA36</f>
        <v>449</v>
      </c>
      <c r="AC36" s="25">
        <f t="shared" ref="AC36:AL36" si="41">AB36</f>
        <v>449</v>
      </c>
      <c r="AD36" s="25">
        <f t="shared" si="41"/>
        <v>449</v>
      </c>
      <c r="AE36" s="25">
        <f t="shared" si="41"/>
        <v>449</v>
      </c>
      <c r="AF36" s="25">
        <f t="shared" si="41"/>
        <v>449</v>
      </c>
      <c r="AG36" s="25">
        <f t="shared" si="41"/>
        <v>449</v>
      </c>
      <c r="AH36" s="25">
        <f t="shared" si="41"/>
        <v>449</v>
      </c>
      <c r="AI36" s="25">
        <f t="shared" si="41"/>
        <v>449</v>
      </c>
      <c r="AJ36" s="25">
        <f t="shared" si="41"/>
        <v>449</v>
      </c>
      <c r="AK36" s="25">
        <f t="shared" si="41"/>
        <v>449</v>
      </c>
      <c r="AL36" s="25">
        <f t="shared" si="41"/>
        <v>449</v>
      </c>
    </row>
    <row r="38" spans="2:38" x14ac:dyDescent="0.25">
      <c r="B38" s="14" t="s">
        <v>25</v>
      </c>
      <c r="C38" s="15">
        <f t="shared" ref="C38:I38" si="42">C25+C21+C29+C32+C35</f>
        <v>3575.12</v>
      </c>
      <c r="D38" s="15">
        <f t="shared" si="42"/>
        <v>3479.3600000000006</v>
      </c>
      <c r="E38" s="15">
        <f t="shared" si="42"/>
        <v>3383.6000000000004</v>
      </c>
      <c r="F38" s="15">
        <f t="shared" si="42"/>
        <v>3287.84</v>
      </c>
      <c r="G38" s="15">
        <f t="shared" si="42"/>
        <v>3465.68</v>
      </c>
      <c r="H38" s="15">
        <f t="shared" si="42"/>
        <v>3369.9200000000005</v>
      </c>
      <c r="I38" s="15">
        <f t="shared" si="42"/>
        <v>3274.1600000000003</v>
      </c>
      <c r="J38" s="15">
        <f>J25+J21+J29+J32+J35</f>
        <v>3452</v>
      </c>
      <c r="K38" s="15">
        <f t="shared" ref="K38:N38" si="43">K25+K21+K29+K32+K35</f>
        <v>3356.24</v>
      </c>
      <c r="L38" s="15">
        <f t="shared" si="43"/>
        <v>3260.4800000000005</v>
      </c>
      <c r="M38" s="15">
        <f t="shared" si="43"/>
        <v>3164.7200000000003</v>
      </c>
      <c r="N38" s="15">
        <f t="shared" si="43"/>
        <v>3668.96</v>
      </c>
      <c r="O38" s="15">
        <f>O21+O32+O25+O29+O35</f>
        <v>3250.5</v>
      </c>
      <c r="P38" s="15">
        <f t="shared" ref="P38:Z38" si="44">P21+P32+P25+P29+P35</f>
        <v>3250.5</v>
      </c>
      <c r="Q38" s="15">
        <f t="shared" si="44"/>
        <v>3250.5</v>
      </c>
      <c r="R38" s="15">
        <f t="shared" si="44"/>
        <v>3250.5</v>
      </c>
      <c r="S38" s="15">
        <f t="shared" si="44"/>
        <v>3250.5</v>
      </c>
      <c r="T38" s="15">
        <f t="shared" si="44"/>
        <v>3250.5</v>
      </c>
      <c r="U38" s="15">
        <f t="shared" si="44"/>
        <v>3250.5</v>
      </c>
      <c r="V38" s="15">
        <f t="shared" si="44"/>
        <v>3250.5</v>
      </c>
      <c r="W38" s="15">
        <f t="shared" si="44"/>
        <v>3250.5</v>
      </c>
      <c r="X38" s="15">
        <f t="shared" si="44"/>
        <v>3250.5</v>
      </c>
      <c r="Y38" s="15">
        <f t="shared" si="44"/>
        <v>3250.5</v>
      </c>
      <c r="Z38" s="15">
        <f t="shared" si="44"/>
        <v>3250.5</v>
      </c>
      <c r="AA38" s="15">
        <f t="shared" ref="AA38:AL38" si="45">AA21+AA25+AA29+AA35</f>
        <v>2875</v>
      </c>
      <c r="AB38" s="15">
        <f t="shared" si="45"/>
        <v>2875</v>
      </c>
      <c r="AC38" s="15">
        <f t="shared" si="45"/>
        <v>2875</v>
      </c>
      <c r="AD38" s="15">
        <f t="shared" si="45"/>
        <v>2875</v>
      </c>
      <c r="AE38" s="15">
        <f t="shared" si="45"/>
        <v>2875</v>
      </c>
      <c r="AF38" s="15">
        <f t="shared" si="45"/>
        <v>2875</v>
      </c>
      <c r="AG38" s="15">
        <f t="shared" si="45"/>
        <v>2875</v>
      </c>
      <c r="AH38" s="15">
        <f t="shared" si="45"/>
        <v>2601.4</v>
      </c>
      <c r="AI38" s="15">
        <f t="shared" si="45"/>
        <v>2601.4</v>
      </c>
      <c r="AJ38" s="15">
        <f t="shared" si="45"/>
        <v>2601.4</v>
      </c>
      <c r="AK38" s="15">
        <f t="shared" si="45"/>
        <v>2601.4</v>
      </c>
      <c r="AL38" s="15">
        <f t="shared" si="45"/>
        <v>2601.4</v>
      </c>
    </row>
    <row r="40" spans="2:38" x14ac:dyDescent="0.25">
      <c r="B40" s="31" t="s">
        <v>33</v>
      </c>
      <c r="C40" s="32">
        <f>Valorización!D19</f>
        <v>3027.92</v>
      </c>
      <c r="D40" s="32">
        <f>C40</f>
        <v>3027.92</v>
      </c>
      <c r="E40" s="32">
        <f t="shared" ref="E40:AL40" si="46">D40</f>
        <v>3027.92</v>
      </c>
      <c r="F40" s="32">
        <f t="shared" si="46"/>
        <v>3027.92</v>
      </c>
      <c r="G40" s="32">
        <f t="shared" si="46"/>
        <v>3027.92</v>
      </c>
      <c r="H40" s="32">
        <f t="shared" si="46"/>
        <v>3027.92</v>
      </c>
      <c r="I40" s="32">
        <f t="shared" si="46"/>
        <v>3027.92</v>
      </c>
      <c r="J40" s="32">
        <f t="shared" si="46"/>
        <v>3027.92</v>
      </c>
      <c r="K40" s="32">
        <f t="shared" si="46"/>
        <v>3027.92</v>
      </c>
      <c r="L40" s="32">
        <f t="shared" si="46"/>
        <v>3027.92</v>
      </c>
      <c r="M40" s="32">
        <f t="shared" si="46"/>
        <v>3027.92</v>
      </c>
      <c r="N40" s="32">
        <f t="shared" si="46"/>
        <v>3027.92</v>
      </c>
      <c r="O40" s="32">
        <f t="shared" si="46"/>
        <v>3027.92</v>
      </c>
      <c r="P40" s="32">
        <f t="shared" si="46"/>
        <v>3027.92</v>
      </c>
      <c r="Q40" s="32">
        <f t="shared" si="46"/>
        <v>3027.92</v>
      </c>
      <c r="R40" s="32">
        <f t="shared" si="46"/>
        <v>3027.92</v>
      </c>
      <c r="S40" s="32">
        <f t="shared" si="46"/>
        <v>3027.92</v>
      </c>
      <c r="T40" s="32">
        <f t="shared" si="46"/>
        <v>3027.92</v>
      </c>
      <c r="U40" s="32">
        <f t="shared" si="46"/>
        <v>3027.92</v>
      </c>
      <c r="V40" s="32">
        <f t="shared" si="46"/>
        <v>3027.92</v>
      </c>
      <c r="W40" s="32">
        <f t="shared" si="46"/>
        <v>3027.92</v>
      </c>
      <c r="X40" s="32">
        <f t="shared" si="46"/>
        <v>3027.92</v>
      </c>
      <c r="Y40" s="32">
        <f t="shared" si="46"/>
        <v>3027.92</v>
      </c>
      <c r="Z40" s="32">
        <f t="shared" si="46"/>
        <v>3027.92</v>
      </c>
      <c r="AA40" s="32">
        <f t="shared" si="46"/>
        <v>3027.92</v>
      </c>
      <c r="AB40" s="32">
        <f t="shared" si="46"/>
        <v>3027.92</v>
      </c>
      <c r="AC40" s="32">
        <f t="shared" si="46"/>
        <v>3027.92</v>
      </c>
      <c r="AD40" s="32">
        <f t="shared" si="46"/>
        <v>3027.92</v>
      </c>
      <c r="AE40" s="32">
        <f t="shared" si="46"/>
        <v>3027.92</v>
      </c>
      <c r="AF40" s="32">
        <f t="shared" si="46"/>
        <v>3027.92</v>
      </c>
      <c r="AG40" s="32">
        <f t="shared" si="46"/>
        <v>3027.92</v>
      </c>
      <c r="AH40" s="32">
        <f t="shared" si="46"/>
        <v>3027.92</v>
      </c>
      <c r="AI40" s="32">
        <f t="shared" si="46"/>
        <v>3027.92</v>
      </c>
      <c r="AJ40" s="32">
        <f t="shared" si="46"/>
        <v>3027.92</v>
      </c>
      <c r="AK40" s="32">
        <f t="shared" si="46"/>
        <v>3027.92</v>
      </c>
      <c r="AL40" s="32">
        <f t="shared" si="46"/>
        <v>3027.92</v>
      </c>
    </row>
    <row r="43" spans="2:38" x14ac:dyDescent="0.25">
      <c r="B43" s="16" t="s">
        <v>26</v>
      </c>
      <c r="C43" s="47">
        <f>C40-C38</f>
        <v>-547.19999999999982</v>
      </c>
      <c r="D43" s="47">
        <f t="shared" ref="D43:AL43" si="47">D40-D38</f>
        <v>-451.44000000000051</v>
      </c>
      <c r="E43" s="47">
        <f t="shared" si="47"/>
        <v>-355.68000000000029</v>
      </c>
      <c r="F43" s="47">
        <f t="shared" si="47"/>
        <v>-259.92000000000007</v>
      </c>
      <c r="G43" s="47">
        <f t="shared" si="47"/>
        <v>-437.75999999999976</v>
      </c>
      <c r="H43" s="47">
        <f t="shared" si="47"/>
        <v>-342.00000000000045</v>
      </c>
      <c r="I43" s="48">
        <f t="shared" si="47"/>
        <v>-246.24000000000024</v>
      </c>
      <c r="J43" s="48">
        <f t="shared" si="47"/>
        <v>-424.07999999999993</v>
      </c>
      <c r="K43" s="48">
        <f t="shared" si="47"/>
        <v>-328.31999999999971</v>
      </c>
      <c r="L43" s="48">
        <f t="shared" si="47"/>
        <v>-232.5600000000004</v>
      </c>
      <c r="M43" s="48">
        <f t="shared" si="47"/>
        <v>-136.80000000000018</v>
      </c>
      <c r="N43" s="48">
        <f t="shared" si="47"/>
        <v>-641.04</v>
      </c>
      <c r="O43" s="48">
        <f t="shared" si="47"/>
        <v>-222.57999999999993</v>
      </c>
      <c r="P43" s="48">
        <f t="shared" si="47"/>
        <v>-222.57999999999993</v>
      </c>
      <c r="Q43" s="48">
        <f t="shared" si="47"/>
        <v>-222.57999999999993</v>
      </c>
      <c r="R43" s="48">
        <f t="shared" si="47"/>
        <v>-222.57999999999993</v>
      </c>
      <c r="S43" s="48">
        <f t="shared" si="47"/>
        <v>-222.57999999999993</v>
      </c>
      <c r="T43" s="48">
        <f t="shared" si="47"/>
        <v>-222.57999999999993</v>
      </c>
      <c r="U43" s="49">
        <f t="shared" si="47"/>
        <v>-222.57999999999993</v>
      </c>
      <c r="V43" s="49">
        <f t="shared" si="47"/>
        <v>-222.57999999999993</v>
      </c>
      <c r="W43" s="49">
        <f t="shared" si="47"/>
        <v>-222.57999999999993</v>
      </c>
      <c r="X43" s="49">
        <f t="shared" si="47"/>
        <v>-222.57999999999993</v>
      </c>
      <c r="Y43" s="49">
        <f t="shared" si="47"/>
        <v>-222.57999999999993</v>
      </c>
      <c r="Z43" s="49">
        <f t="shared" si="47"/>
        <v>-222.57999999999993</v>
      </c>
      <c r="AA43" s="49">
        <f t="shared" si="47"/>
        <v>152.92000000000007</v>
      </c>
      <c r="AB43" s="49">
        <f t="shared" si="47"/>
        <v>152.92000000000007</v>
      </c>
      <c r="AC43" s="49">
        <f t="shared" si="47"/>
        <v>152.92000000000007</v>
      </c>
      <c r="AD43" s="49">
        <f t="shared" si="47"/>
        <v>152.92000000000007</v>
      </c>
      <c r="AE43" s="49">
        <f t="shared" si="47"/>
        <v>152.92000000000007</v>
      </c>
      <c r="AF43" s="49">
        <f t="shared" si="47"/>
        <v>152.92000000000007</v>
      </c>
      <c r="AG43" s="50">
        <f t="shared" si="47"/>
        <v>152.92000000000007</v>
      </c>
      <c r="AH43" s="50">
        <f t="shared" si="47"/>
        <v>426.52</v>
      </c>
      <c r="AI43" s="50">
        <f t="shared" si="47"/>
        <v>426.52</v>
      </c>
      <c r="AJ43" s="50">
        <f t="shared" si="47"/>
        <v>426.52</v>
      </c>
      <c r="AK43" s="50">
        <f t="shared" si="47"/>
        <v>426.52</v>
      </c>
      <c r="AL43" s="50">
        <f t="shared" si="47"/>
        <v>426.52</v>
      </c>
    </row>
    <row r="44" spans="2:38" x14ac:dyDescent="0.25"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</row>
    <row r="45" spans="2:38" x14ac:dyDescent="0.25">
      <c r="B45" s="16" t="s">
        <v>34</v>
      </c>
      <c r="C45" s="37">
        <f>SUM(C43:N43)</f>
        <v>-4403.0400000000009</v>
      </c>
    </row>
    <row r="46" spans="2:38" x14ac:dyDescent="0.25">
      <c r="B46" s="34" t="s">
        <v>35</v>
      </c>
      <c r="C46" s="35">
        <f>SUM(O43:Z43)</f>
        <v>-2670.9599999999991</v>
      </c>
      <c r="S46" s="30">
        <f>AVERAGE(I31:T31)</f>
        <v>4478.2237403928266</v>
      </c>
    </row>
    <row r="47" spans="2:38" x14ac:dyDescent="0.25">
      <c r="B47" s="33" t="s">
        <v>36</v>
      </c>
      <c r="C47" s="36">
        <f>SUM(AA43:AL43)</f>
        <v>3203.0400000000004</v>
      </c>
    </row>
    <row r="49" spans="2:39" x14ac:dyDescent="0.25">
      <c r="B49" s="51" t="s">
        <v>58</v>
      </c>
      <c r="C49" s="9" t="s">
        <v>59</v>
      </c>
      <c r="D49" s="51" t="s">
        <v>53</v>
      </c>
      <c r="E49" s="51" t="s">
        <v>54</v>
      </c>
      <c r="F49" s="51" t="s">
        <v>55</v>
      </c>
      <c r="G49" s="51" t="s">
        <v>52</v>
      </c>
      <c r="H49" s="51" t="s">
        <v>56</v>
      </c>
      <c r="I49" s="51" t="s">
        <v>60</v>
      </c>
      <c r="J49" s="51" t="s">
        <v>61</v>
      </c>
      <c r="K49" s="42" t="s">
        <v>62</v>
      </c>
    </row>
    <row r="50" spans="2:39" x14ac:dyDescent="0.25">
      <c r="B50" s="70" t="s">
        <v>48</v>
      </c>
      <c r="C50" s="55">
        <f>SUM(C22:N22)</f>
        <v>6566.3999999999987</v>
      </c>
      <c r="D50" s="55">
        <v>0</v>
      </c>
      <c r="E50" s="55">
        <f>C50</f>
        <v>6566.3999999999987</v>
      </c>
      <c r="F50" s="55">
        <f>E50-D50</f>
        <v>6566.3999999999987</v>
      </c>
      <c r="G50" s="58">
        <v>0.3</v>
      </c>
      <c r="H50" s="55">
        <f>F50*G50</f>
        <v>1969.9199999999996</v>
      </c>
      <c r="I50" s="63">
        <v>12</v>
      </c>
      <c r="J50" s="56">
        <f>H50/I50</f>
        <v>164.15999999999997</v>
      </c>
      <c r="K50" s="63" t="s">
        <v>64</v>
      </c>
    </row>
    <row r="51" spans="2:39" x14ac:dyDescent="0.25">
      <c r="B51" s="71" t="s">
        <v>49</v>
      </c>
      <c r="C51" s="56">
        <f>SUM(G30:AL30)</f>
        <v>15321.600000000008</v>
      </c>
      <c r="D51" s="56">
        <v>7.0000000000000007E-2</v>
      </c>
      <c r="E51" s="56">
        <f>D51*SUM(G31:AF31)</f>
        <v>8014.0734415029956</v>
      </c>
      <c r="F51" s="56">
        <f>C51-E51</f>
        <v>7307.526558497012</v>
      </c>
      <c r="G51" s="59">
        <v>0.3</v>
      </c>
      <c r="H51" s="56">
        <f t="shared" ref="H51:H53" si="48">F51*G51</f>
        <v>2192.2579675491033</v>
      </c>
      <c r="I51" s="63">
        <v>32</v>
      </c>
      <c r="J51" s="56">
        <f t="shared" ref="J51:J53" si="49">H51/I51</f>
        <v>68.508061485909479</v>
      </c>
      <c r="K51" s="63" t="s">
        <v>63</v>
      </c>
    </row>
    <row r="52" spans="2:39" x14ac:dyDescent="0.25">
      <c r="B52" s="71" t="s">
        <v>50</v>
      </c>
      <c r="C52" s="56">
        <f>SUM(N33:Z33)</f>
        <v>7800</v>
      </c>
      <c r="D52" s="56">
        <v>0.13</v>
      </c>
      <c r="E52" s="56">
        <f>D52*SUM(N34:Z34)</f>
        <v>4225</v>
      </c>
      <c r="F52" s="56">
        <f>C52-E52</f>
        <v>3575</v>
      </c>
      <c r="G52" s="59">
        <v>0.3</v>
      </c>
      <c r="H52" s="56">
        <f t="shared" si="48"/>
        <v>1072.5</v>
      </c>
      <c r="I52" s="63">
        <v>13</v>
      </c>
      <c r="J52" s="56">
        <f t="shared" si="49"/>
        <v>82.5</v>
      </c>
      <c r="K52" s="63" t="s">
        <v>65</v>
      </c>
    </row>
    <row r="53" spans="2:39" x14ac:dyDescent="0.25">
      <c r="B53" s="72" t="s">
        <v>51</v>
      </c>
      <c r="C53" s="57">
        <f>SUM(AA36)</f>
        <v>449</v>
      </c>
      <c r="D53" s="57">
        <v>0</v>
      </c>
      <c r="E53" s="57">
        <v>0</v>
      </c>
      <c r="F53" s="57">
        <f>C53-E53</f>
        <v>449</v>
      </c>
      <c r="G53" s="60">
        <v>0.8</v>
      </c>
      <c r="H53" s="57">
        <f t="shared" si="48"/>
        <v>359.20000000000005</v>
      </c>
      <c r="I53" s="64">
        <v>1</v>
      </c>
      <c r="J53" s="57">
        <f t="shared" si="49"/>
        <v>359.20000000000005</v>
      </c>
      <c r="K53" s="64" t="s">
        <v>66</v>
      </c>
    </row>
    <row r="55" spans="2:39" x14ac:dyDescent="0.25">
      <c r="C55" s="69">
        <f>SUM(C50:C53)</f>
        <v>30137.000000000007</v>
      </c>
      <c r="G55" s="61" t="s">
        <v>57</v>
      </c>
      <c r="H55" s="62">
        <f>SUM(H50:H54)</f>
        <v>5593.8779675491032</v>
      </c>
    </row>
    <row r="57" spans="2:39" x14ac:dyDescent="0.25">
      <c r="B57" s="68" t="s">
        <v>58</v>
      </c>
      <c r="C57" s="73">
        <v>43617</v>
      </c>
      <c r="D57" s="73">
        <v>43647</v>
      </c>
      <c r="E57" s="73">
        <v>43678</v>
      </c>
      <c r="F57" s="73">
        <v>43709</v>
      </c>
      <c r="G57" s="73">
        <v>43739</v>
      </c>
      <c r="H57" s="73">
        <v>43770</v>
      </c>
      <c r="I57" s="73">
        <v>43800</v>
      </c>
      <c r="J57" s="73">
        <v>43831</v>
      </c>
      <c r="K57" s="73">
        <v>43862</v>
      </c>
      <c r="L57" s="73">
        <v>43891</v>
      </c>
      <c r="M57" s="73">
        <v>43922</v>
      </c>
      <c r="N57" s="73">
        <v>43952</v>
      </c>
      <c r="O57" s="73">
        <v>43983</v>
      </c>
      <c r="P57" s="73">
        <v>44013</v>
      </c>
      <c r="Q57" s="73">
        <v>44044</v>
      </c>
      <c r="R57" s="73">
        <v>44075</v>
      </c>
      <c r="S57" s="73">
        <v>44105</v>
      </c>
      <c r="T57" s="73">
        <v>44136</v>
      </c>
      <c r="U57" s="73">
        <v>44166</v>
      </c>
      <c r="V57" s="73">
        <v>44197</v>
      </c>
      <c r="W57" s="73">
        <v>44228</v>
      </c>
      <c r="X57" s="73">
        <v>44256</v>
      </c>
      <c r="Y57" s="73">
        <v>44287</v>
      </c>
      <c r="Z57" s="73">
        <v>44317</v>
      </c>
      <c r="AA57" s="73">
        <v>44348</v>
      </c>
      <c r="AB57" s="73">
        <v>44378</v>
      </c>
      <c r="AC57" s="73">
        <v>44409</v>
      </c>
      <c r="AD57" s="73">
        <v>44440</v>
      </c>
      <c r="AE57" s="73">
        <v>44470</v>
      </c>
      <c r="AF57" s="73">
        <v>44501</v>
      </c>
      <c r="AG57" s="73">
        <v>44531</v>
      </c>
      <c r="AH57" s="73">
        <v>44562</v>
      </c>
      <c r="AI57" s="73">
        <v>44593</v>
      </c>
      <c r="AJ57" s="73">
        <v>44621</v>
      </c>
      <c r="AK57" s="73">
        <v>44652</v>
      </c>
      <c r="AL57" s="73">
        <v>44682</v>
      </c>
      <c r="AM57" s="73">
        <v>44713</v>
      </c>
    </row>
    <row r="58" spans="2:39" x14ac:dyDescent="0.25">
      <c r="B58" s="53" t="s">
        <v>48</v>
      </c>
      <c r="C58" s="55">
        <f>J50</f>
        <v>164.15999999999997</v>
      </c>
      <c r="D58" s="55">
        <f>C58</f>
        <v>164.15999999999997</v>
      </c>
      <c r="E58" s="55">
        <f t="shared" ref="E58:O58" si="50">D58</f>
        <v>164.15999999999997</v>
      </c>
      <c r="F58" s="55">
        <f t="shared" si="50"/>
        <v>164.15999999999997</v>
      </c>
      <c r="G58" s="55">
        <f t="shared" si="50"/>
        <v>164.15999999999997</v>
      </c>
      <c r="H58" s="55">
        <f t="shared" si="50"/>
        <v>164.15999999999997</v>
      </c>
      <c r="I58" s="55">
        <f t="shared" si="50"/>
        <v>164.15999999999997</v>
      </c>
      <c r="J58" s="55">
        <f t="shared" si="50"/>
        <v>164.15999999999997</v>
      </c>
      <c r="K58" s="55">
        <f t="shared" si="50"/>
        <v>164.15999999999997</v>
      </c>
      <c r="L58" s="55">
        <f t="shared" si="50"/>
        <v>164.15999999999997</v>
      </c>
      <c r="M58" s="55">
        <f t="shared" si="50"/>
        <v>164.15999999999997</v>
      </c>
      <c r="N58" s="55">
        <f t="shared" si="50"/>
        <v>164.15999999999997</v>
      </c>
      <c r="O58" s="55">
        <f t="shared" si="50"/>
        <v>164.15999999999997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</row>
    <row r="59" spans="2:39" x14ac:dyDescent="0.25">
      <c r="B59" s="53" t="s">
        <v>49</v>
      </c>
      <c r="C59" s="56">
        <v>0</v>
      </c>
      <c r="D59" s="56">
        <v>0</v>
      </c>
      <c r="E59" s="56"/>
      <c r="F59" s="56">
        <v>0</v>
      </c>
      <c r="G59" s="56">
        <v>0</v>
      </c>
      <c r="H59" s="56">
        <f>J51</f>
        <v>68.508061485909479</v>
      </c>
      <c r="I59" s="56">
        <f>H59</f>
        <v>68.508061485909479</v>
      </c>
      <c r="J59" s="56">
        <f t="shared" ref="J59:AM59" si="51">I59</f>
        <v>68.508061485909479</v>
      </c>
      <c r="K59" s="56">
        <f t="shared" si="51"/>
        <v>68.508061485909479</v>
      </c>
      <c r="L59" s="56">
        <f t="shared" si="51"/>
        <v>68.508061485909479</v>
      </c>
      <c r="M59" s="56">
        <f t="shared" si="51"/>
        <v>68.508061485909479</v>
      </c>
      <c r="N59" s="56">
        <f t="shared" si="51"/>
        <v>68.508061485909479</v>
      </c>
      <c r="O59" s="56">
        <f t="shared" si="51"/>
        <v>68.508061485909479</v>
      </c>
      <c r="P59" s="56">
        <f t="shared" si="51"/>
        <v>68.508061485909479</v>
      </c>
      <c r="Q59" s="56">
        <f t="shared" si="51"/>
        <v>68.508061485909479</v>
      </c>
      <c r="R59" s="56">
        <f t="shared" si="51"/>
        <v>68.508061485909479</v>
      </c>
      <c r="S59" s="56">
        <f t="shared" si="51"/>
        <v>68.508061485909479</v>
      </c>
      <c r="T59" s="56">
        <f t="shared" si="51"/>
        <v>68.508061485909479</v>
      </c>
      <c r="U59" s="56">
        <f t="shared" si="51"/>
        <v>68.508061485909479</v>
      </c>
      <c r="V59" s="56">
        <f t="shared" si="51"/>
        <v>68.508061485909479</v>
      </c>
      <c r="W59" s="56">
        <f t="shared" si="51"/>
        <v>68.508061485909479</v>
      </c>
      <c r="X59" s="56">
        <f t="shared" si="51"/>
        <v>68.508061485909479</v>
      </c>
      <c r="Y59" s="56">
        <f t="shared" si="51"/>
        <v>68.508061485909479</v>
      </c>
      <c r="Z59" s="56">
        <f t="shared" si="51"/>
        <v>68.508061485909479</v>
      </c>
      <c r="AA59" s="56">
        <f t="shared" si="51"/>
        <v>68.508061485909479</v>
      </c>
      <c r="AB59" s="56">
        <f t="shared" si="51"/>
        <v>68.508061485909479</v>
      </c>
      <c r="AC59" s="56">
        <f t="shared" si="51"/>
        <v>68.508061485909479</v>
      </c>
      <c r="AD59" s="56">
        <f t="shared" si="51"/>
        <v>68.508061485909479</v>
      </c>
      <c r="AE59" s="56">
        <f t="shared" si="51"/>
        <v>68.508061485909479</v>
      </c>
      <c r="AF59" s="56">
        <f t="shared" si="51"/>
        <v>68.508061485909479</v>
      </c>
      <c r="AG59" s="56">
        <f t="shared" si="51"/>
        <v>68.508061485909479</v>
      </c>
      <c r="AH59" s="56">
        <f t="shared" si="51"/>
        <v>68.508061485909479</v>
      </c>
      <c r="AI59" s="56">
        <f t="shared" si="51"/>
        <v>68.508061485909479</v>
      </c>
      <c r="AJ59" s="56">
        <f t="shared" si="51"/>
        <v>68.508061485909479</v>
      </c>
      <c r="AK59" s="56">
        <f t="shared" si="51"/>
        <v>68.508061485909479</v>
      </c>
      <c r="AL59" s="56">
        <f t="shared" si="51"/>
        <v>68.508061485909479</v>
      </c>
      <c r="AM59" s="56">
        <f t="shared" si="51"/>
        <v>68.508061485909479</v>
      </c>
    </row>
    <row r="60" spans="2:39" x14ac:dyDescent="0.25">
      <c r="B60" s="53" t="s">
        <v>50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f>J52</f>
        <v>82.5</v>
      </c>
      <c r="P60" s="56">
        <f>O60</f>
        <v>82.5</v>
      </c>
      <c r="Q60" s="56">
        <f t="shared" ref="Q60:AA60" si="52">P60</f>
        <v>82.5</v>
      </c>
      <c r="R60" s="56">
        <f t="shared" si="52"/>
        <v>82.5</v>
      </c>
      <c r="S60" s="56">
        <f t="shared" si="52"/>
        <v>82.5</v>
      </c>
      <c r="T60" s="56">
        <f t="shared" si="52"/>
        <v>82.5</v>
      </c>
      <c r="U60" s="56">
        <f t="shared" si="52"/>
        <v>82.5</v>
      </c>
      <c r="V60" s="56">
        <f t="shared" si="52"/>
        <v>82.5</v>
      </c>
      <c r="W60" s="56">
        <f t="shared" si="52"/>
        <v>82.5</v>
      </c>
      <c r="X60" s="56">
        <f t="shared" si="52"/>
        <v>82.5</v>
      </c>
      <c r="Y60" s="56">
        <f t="shared" si="52"/>
        <v>82.5</v>
      </c>
      <c r="Z60" s="56">
        <f t="shared" si="52"/>
        <v>82.5</v>
      </c>
      <c r="AA60" s="56">
        <f t="shared" si="52"/>
        <v>82.5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</row>
    <row r="61" spans="2:39" x14ac:dyDescent="0.25">
      <c r="B61" s="54" t="s">
        <v>51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f>J53</f>
        <v>359.20000000000005</v>
      </c>
      <c r="AC61" s="57">
        <v>0</v>
      </c>
      <c r="AD61" s="57">
        <v>0</v>
      </c>
      <c r="AE61" s="57">
        <v>0</v>
      </c>
      <c r="AF61" s="57"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v>0</v>
      </c>
      <c r="AL61" s="57">
        <v>0</v>
      </c>
      <c r="AM61" s="57">
        <v>0</v>
      </c>
    </row>
    <row r="63" spans="2:39" x14ac:dyDescent="0.25">
      <c r="B63" s="52" t="s">
        <v>57</v>
      </c>
      <c r="C63" s="65">
        <f>SUM(C58:C62)</f>
        <v>164.15999999999997</v>
      </c>
      <c r="D63" s="65">
        <f t="shared" ref="D63:AM63" si="53">SUM(D58:D62)</f>
        <v>164.15999999999997</v>
      </c>
      <c r="E63" s="65">
        <f t="shared" si="53"/>
        <v>164.15999999999997</v>
      </c>
      <c r="F63" s="65">
        <f t="shared" si="53"/>
        <v>164.15999999999997</v>
      </c>
      <c r="G63" s="65">
        <f t="shared" si="53"/>
        <v>164.15999999999997</v>
      </c>
      <c r="H63" s="65">
        <f t="shared" si="53"/>
        <v>232.66806148590945</v>
      </c>
      <c r="I63" s="65">
        <f t="shared" si="53"/>
        <v>232.66806148590945</v>
      </c>
      <c r="J63" s="65">
        <f t="shared" si="53"/>
        <v>232.66806148590945</v>
      </c>
      <c r="K63" s="65">
        <f t="shared" si="53"/>
        <v>232.66806148590945</v>
      </c>
      <c r="L63" s="65">
        <f t="shared" si="53"/>
        <v>232.66806148590945</v>
      </c>
      <c r="M63" s="65">
        <f t="shared" si="53"/>
        <v>232.66806148590945</v>
      </c>
      <c r="N63" s="65">
        <f t="shared" si="53"/>
        <v>232.66806148590945</v>
      </c>
      <c r="O63" s="65">
        <f t="shared" si="53"/>
        <v>315.16806148590945</v>
      </c>
      <c r="P63" s="65">
        <f t="shared" si="53"/>
        <v>151.00806148590948</v>
      </c>
      <c r="Q63" s="65">
        <f t="shared" si="53"/>
        <v>151.00806148590948</v>
      </c>
      <c r="R63" s="65">
        <f t="shared" si="53"/>
        <v>151.00806148590948</v>
      </c>
      <c r="S63" s="65">
        <f t="shared" si="53"/>
        <v>151.00806148590948</v>
      </c>
      <c r="T63" s="65">
        <f t="shared" si="53"/>
        <v>151.00806148590948</v>
      </c>
      <c r="U63" s="65">
        <f t="shared" si="53"/>
        <v>151.00806148590948</v>
      </c>
      <c r="V63" s="65">
        <f t="shared" si="53"/>
        <v>151.00806148590948</v>
      </c>
      <c r="W63" s="65">
        <f t="shared" si="53"/>
        <v>151.00806148590948</v>
      </c>
      <c r="X63" s="65">
        <f t="shared" si="53"/>
        <v>151.00806148590948</v>
      </c>
      <c r="Y63" s="65">
        <f t="shared" si="53"/>
        <v>151.00806148590948</v>
      </c>
      <c r="Z63" s="65">
        <f t="shared" si="53"/>
        <v>151.00806148590948</v>
      </c>
      <c r="AA63" s="65">
        <f t="shared" si="53"/>
        <v>151.00806148590948</v>
      </c>
      <c r="AB63" s="65">
        <f t="shared" si="53"/>
        <v>427.70806148590952</v>
      </c>
      <c r="AC63" s="65">
        <f t="shared" si="53"/>
        <v>68.508061485909479</v>
      </c>
      <c r="AD63" s="65">
        <f t="shared" si="53"/>
        <v>68.508061485909479</v>
      </c>
      <c r="AE63" s="65">
        <f t="shared" si="53"/>
        <v>68.508061485909479</v>
      </c>
      <c r="AF63" s="65">
        <f t="shared" si="53"/>
        <v>68.508061485909479</v>
      </c>
      <c r="AG63" s="65">
        <f t="shared" si="53"/>
        <v>68.508061485909479</v>
      </c>
      <c r="AH63" s="65">
        <f t="shared" si="53"/>
        <v>68.508061485909479</v>
      </c>
      <c r="AI63" s="65">
        <f t="shared" si="53"/>
        <v>68.508061485909479</v>
      </c>
      <c r="AJ63" s="65">
        <f t="shared" si="53"/>
        <v>68.508061485909479</v>
      </c>
      <c r="AK63" s="65">
        <f t="shared" si="53"/>
        <v>68.508061485909479</v>
      </c>
      <c r="AL63" s="65">
        <f t="shared" si="53"/>
        <v>68.508061485909479</v>
      </c>
      <c r="AM63" s="66">
        <f t="shared" si="53"/>
        <v>68.508061485909479</v>
      </c>
    </row>
    <row r="64" spans="2:39" x14ac:dyDescent="0.25">
      <c r="C64" s="76">
        <f>C38-C63</f>
        <v>3410.96</v>
      </c>
      <c r="D64" s="76">
        <f t="shared" ref="D64:AM64" si="54">D38-D63</f>
        <v>3315.2000000000007</v>
      </c>
      <c r="E64" s="76">
        <f t="shared" si="54"/>
        <v>3219.4400000000005</v>
      </c>
      <c r="F64" s="76">
        <f t="shared" si="54"/>
        <v>3123.6800000000003</v>
      </c>
      <c r="G64" s="76">
        <f t="shared" si="54"/>
        <v>3301.52</v>
      </c>
      <c r="H64" s="76">
        <f t="shared" si="54"/>
        <v>3137.2519385140913</v>
      </c>
      <c r="I64" s="76">
        <f t="shared" si="54"/>
        <v>3041.4919385140911</v>
      </c>
      <c r="J64" s="76">
        <f t="shared" si="54"/>
        <v>3219.3319385140903</v>
      </c>
      <c r="K64" s="76">
        <f t="shared" si="54"/>
        <v>3123.5719385140901</v>
      </c>
      <c r="L64" s="76">
        <f t="shared" si="54"/>
        <v>3027.8119385140908</v>
      </c>
      <c r="M64" s="76">
        <f t="shared" si="54"/>
        <v>2932.0519385140906</v>
      </c>
      <c r="N64" s="76">
        <f t="shared" si="54"/>
        <v>3436.2919385140904</v>
      </c>
      <c r="O64" s="76">
        <f t="shared" si="54"/>
        <v>2935.3319385140903</v>
      </c>
      <c r="P64" s="76">
        <f t="shared" si="54"/>
        <v>3099.4919385140906</v>
      </c>
      <c r="Q64" s="76">
        <f t="shared" si="54"/>
        <v>3099.4919385140906</v>
      </c>
      <c r="R64" s="76">
        <f t="shared" si="54"/>
        <v>3099.4919385140906</v>
      </c>
      <c r="S64" s="76">
        <f t="shared" si="54"/>
        <v>3099.4919385140906</v>
      </c>
      <c r="T64" s="76">
        <f t="shared" si="54"/>
        <v>3099.4919385140906</v>
      </c>
      <c r="U64" s="76">
        <f t="shared" si="54"/>
        <v>3099.4919385140906</v>
      </c>
      <c r="V64" s="76">
        <f t="shared" si="54"/>
        <v>3099.4919385140906</v>
      </c>
      <c r="W64" s="76">
        <f t="shared" si="54"/>
        <v>3099.4919385140906</v>
      </c>
      <c r="X64" s="76">
        <f t="shared" si="54"/>
        <v>3099.4919385140906</v>
      </c>
      <c r="Y64" s="76">
        <f t="shared" si="54"/>
        <v>3099.4919385140906</v>
      </c>
      <c r="Z64" s="76">
        <f t="shared" si="54"/>
        <v>3099.4919385140906</v>
      </c>
      <c r="AA64" s="76">
        <f t="shared" si="54"/>
        <v>2723.9919385140906</v>
      </c>
      <c r="AB64" s="76">
        <f t="shared" si="54"/>
        <v>2447.2919385140904</v>
      </c>
      <c r="AC64" s="76">
        <f t="shared" si="54"/>
        <v>2806.4919385140906</v>
      </c>
      <c r="AD64" s="76">
        <f t="shared" si="54"/>
        <v>2806.4919385140906</v>
      </c>
      <c r="AE64" s="76">
        <f t="shared" si="54"/>
        <v>2806.4919385140906</v>
      </c>
      <c r="AF64" s="76">
        <f t="shared" si="54"/>
        <v>2806.4919385140906</v>
      </c>
      <c r="AG64" s="76">
        <f t="shared" si="54"/>
        <v>2806.4919385140906</v>
      </c>
      <c r="AH64" s="76">
        <f t="shared" si="54"/>
        <v>2532.8919385140907</v>
      </c>
      <c r="AI64" s="76">
        <f t="shared" si="54"/>
        <v>2532.8919385140907</v>
      </c>
      <c r="AJ64" s="76">
        <f t="shared" si="54"/>
        <v>2532.8919385140907</v>
      </c>
      <c r="AK64" s="76">
        <f t="shared" si="54"/>
        <v>2532.8919385140907</v>
      </c>
      <c r="AL64" s="76">
        <f t="shared" si="54"/>
        <v>2532.8919385140907</v>
      </c>
      <c r="AM64" s="76">
        <f t="shared" si="54"/>
        <v>-68.508061485909479</v>
      </c>
    </row>
    <row r="65" spans="1:40" x14ac:dyDescent="0.25">
      <c r="B65" s="51" t="s">
        <v>69</v>
      </c>
      <c r="C65" s="74">
        <v>43709</v>
      </c>
      <c r="D65" s="74">
        <v>43739</v>
      </c>
      <c r="E65" s="74">
        <v>43770</v>
      </c>
      <c r="F65" s="74">
        <v>43800</v>
      </c>
      <c r="G65" s="74">
        <v>43831</v>
      </c>
      <c r="H65" s="74">
        <v>43862</v>
      </c>
      <c r="I65" s="74">
        <v>43891</v>
      </c>
      <c r="J65" s="74">
        <v>43922</v>
      </c>
      <c r="K65" s="74">
        <v>43952</v>
      </c>
      <c r="L65" s="74">
        <v>43983</v>
      </c>
      <c r="M65" s="74">
        <v>44013</v>
      </c>
      <c r="N65" s="74">
        <v>44044</v>
      </c>
      <c r="O65" s="74">
        <v>44075</v>
      </c>
      <c r="P65" s="74">
        <v>44105</v>
      </c>
      <c r="Q65" s="74">
        <v>44136</v>
      </c>
      <c r="R65" s="74">
        <v>44166</v>
      </c>
      <c r="S65" s="74">
        <v>44197</v>
      </c>
      <c r="T65" s="74">
        <v>44228</v>
      </c>
      <c r="U65" s="74">
        <v>44256</v>
      </c>
      <c r="V65" s="74">
        <v>44287</v>
      </c>
      <c r="W65" s="74">
        <v>44317</v>
      </c>
      <c r="X65" s="74">
        <v>44348</v>
      </c>
      <c r="Y65" s="74">
        <v>44378</v>
      </c>
      <c r="Z65" s="74">
        <v>44409</v>
      </c>
      <c r="AA65" s="74">
        <v>44440</v>
      </c>
      <c r="AB65" s="74">
        <v>44470</v>
      </c>
      <c r="AC65" s="74">
        <v>44501</v>
      </c>
      <c r="AD65" s="74">
        <v>44531</v>
      </c>
      <c r="AE65" s="74">
        <v>44562</v>
      </c>
      <c r="AF65" s="74">
        <v>44593</v>
      </c>
      <c r="AG65" s="74">
        <v>44621</v>
      </c>
      <c r="AH65" s="74">
        <v>44652</v>
      </c>
      <c r="AI65" s="74">
        <v>44682</v>
      </c>
      <c r="AJ65" s="74">
        <v>44713</v>
      </c>
      <c r="AK65" s="74">
        <v>44743</v>
      </c>
      <c r="AL65" s="74">
        <v>44774</v>
      </c>
      <c r="AM65" s="74">
        <v>44805</v>
      </c>
    </row>
    <row r="66" spans="1:40" x14ac:dyDescent="0.25">
      <c r="A66" s="67">
        <v>0.25</v>
      </c>
      <c r="B66" s="68" t="s">
        <v>67</v>
      </c>
      <c r="C66" s="75">
        <f>C63*$A$66</f>
        <v>41.039999999999992</v>
      </c>
      <c r="D66" s="75">
        <f t="shared" ref="D66:AM66" si="55">D63*$A$66</f>
        <v>41.039999999999992</v>
      </c>
      <c r="E66" s="75">
        <f t="shared" si="55"/>
        <v>41.039999999999992</v>
      </c>
      <c r="F66" s="75">
        <f t="shared" si="55"/>
        <v>41.039999999999992</v>
      </c>
      <c r="G66" s="75">
        <f t="shared" si="55"/>
        <v>41.039999999999992</v>
      </c>
      <c r="H66" s="75">
        <f t="shared" si="55"/>
        <v>58.167015371477362</v>
      </c>
      <c r="I66" s="75">
        <f t="shared" si="55"/>
        <v>58.167015371477362</v>
      </c>
      <c r="J66" s="75">
        <f t="shared" si="55"/>
        <v>58.167015371477362</v>
      </c>
      <c r="K66" s="75">
        <f t="shared" si="55"/>
        <v>58.167015371477362</v>
      </c>
      <c r="L66" s="75">
        <f t="shared" si="55"/>
        <v>58.167015371477362</v>
      </c>
      <c r="M66" s="75">
        <f t="shared" si="55"/>
        <v>58.167015371477362</v>
      </c>
      <c r="N66" s="75">
        <f t="shared" si="55"/>
        <v>58.167015371477362</v>
      </c>
      <c r="O66" s="75">
        <f t="shared" si="55"/>
        <v>78.792015371477362</v>
      </c>
      <c r="P66" s="75">
        <f t="shared" si="55"/>
        <v>37.75201537147737</v>
      </c>
      <c r="Q66" s="75">
        <f t="shared" si="55"/>
        <v>37.75201537147737</v>
      </c>
      <c r="R66" s="75">
        <f t="shared" si="55"/>
        <v>37.75201537147737</v>
      </c>
      <c r="S66" s="75">
        <f t="shared" si="55"/>
        <v>37.75201537147737</v>
      </c>
      <c r="T66" s="75">
        <f t="shared" si="55"/>
        <v>37.75201537147737</v>
      </c>
      <c r="U66" s="75">
        <f t="shared" si="55"/>
        <v>37.75201537147737</v>
      </c>
      <c r="V66" s="75">
        <f t="shared" si="55"/>
        <v>37.75201537147737</v>
      </c>
      <c r="W66" s="75">
        <f t="shared" si="55"/>
        <v>37.75201537147737</v>
      </c>
      <c r="X66" s="75">
        <f t="shared" si="55"/>
        <v>37.75201537147737</v>
      </c>
      <c r="Y66" s="75">
        <f t="shared" si="55"/>
        <v>37.75201537147737</v>
      </c>
      <c r="Z66" s="75">
        <f t="shared" si="55"/>
        <v>37.75201537147737</v>
      </c>
      <c r="AA66" s="75">
        <f t="shared" si="55"/>
        <v>37.75201537147737</v>
      </c>
      <c r="AB66" s="75">
        <f t="shared" si="55"/>
        <v>106.92701537147738</v>
      </c>
      <c r="AC66" s="75">
        <f t="shared" si="55"/>
        <v>17.12701537147737</v>
      </c>
      <c r="AD66" s="75">
        <f t="shared" si="55"/>
        <v>17.12701537147737</v>
      </c>
      <c r="AE66" s="75">
        <f t="shared" si="55"/>
        <v>17.12701537147737</v>
      </c>
      <c r="AF66" s="75">
        <f t="shared" si="55"/>
        <v>17.12701537147737</v>
      </c>
      <c r="AG66" s="75">
        <f t="shared" si="55"/>
        <v>17.12701537147737</v>
      </c>
      <c r="AH66" s="75">
        <f t="shared" si="55"/>
        <v>17.12701537147737</v>
      </c>
      <c r="AI66" s="75">
        <f t="shared" si="55"/>
        <v>17.12701537147737</v>
      </c>
      <c r="AJ66" s="75">
        <f t="shared" si="55"/>
        <v>17.12701537147737</v>
      </c>
      <c r="AK66" s="75">
        <f t="shared" si="55"/>
        <v>17.12701537147737</v>
      </c>
      <c r="AL66" s="75">
        <f t="shared" si="55"/>
        <v>17.12701537147737</v>
      </c>
      <c r="AM66" s="75">
        <f t="shared" si="55"/>
        <v>17.12701537147737</v>
      </c>
      <c r="AN66" s="1"/>
    </row>
    <row r="67" spans="1:40" x14ac:dyDescent="0.25">
      <c r="A67" s="67">
        <f>1-A66</f>
        <v>0.75</v>
      </c>
      <c r="B67" s="68" t="s">
        <v>68</v>
      </c>
      <c r="C67" s="75">
        <f>C63*$A$67</f>
        <v>123.11999999999998</v>
      </c>
      <c r="D67" s="75">
        <f t="shared" ref="D67:AM67" si="56">D63*$A$67</f>
        <v>123.11999999999998</v>
      </c>
      <c r="E67" s="75">
        <f t="shared" si="56"/>
        <v>123.11999999999998</v>
      </c>
      <c r="F67" s="75">
        <f t="shared" si="56"/>
        <v>123.11999999999998</v>
      </c>
      <c r="G67" s="75">
        <f t="shared" si="56"/>
        <v>123.11999999999998</v>
      </c>
      <c r="H67" s="75">
        <f t="shared" si="56"/>
        <v>174.50104611443209</v>
      </c>
      <c r="I67" s="75">
        <f t="shared" si="56"/>
        <v>174.50104611443209</v>
      </c>
      <c r="J67" s="75">
        <f t="shared" si="56"/>
        <v>174.50104611443209</v>
      </c>
      <c r="K67" s="75">
        <f t="shared" si="56"/>
        <v>174.50104611443209</v>
      </c>
      <c r="L67" s="75">
        <f t="shared" si="56"/>
        <v>174.50104611443209</v>
      </c>
      <c r="M67" s="75">
        <f t="shared" si="56"/>
        <v>174.50104611443209</v>
      </c>
      <c r="N67" s="75">
        <f t="shared" si="56"/>
        <v>174.50104611443209</v>
      </c>
      <c r="O67" s="75">
        <f t="shared" si="56"/>
        <v>236.37604611443209</v>
      </c>
      <c r="P67" s="75">
        <f t="shared" si="56"/>
        <v>113.25604611443211</v>
      </c>
      <c r="Q67" s="75">
        <f t="shared" si="56"/>
        <v>113.25604611443211</v>
      </c>
      <c r="R67" s="75">
        <f t="shared" si="56"/>
        <v>113.25604611443211</v>
      </c>
      <c r="S67" s="75">
        <f t="shared" si="56"/>
        <v>113.25604611443211</v>
      </c>
      <c r="T67" s="75">
        <f t="shared" si="56"/>
        <v>113.25604611443211</v>
      </c>
      <c r="U67" s="75">
        <f t="shared" si="56"/>
        <v>113.25604611443211</v>
      </c>
      <c r="V67" s="75">
        <f t="shared" si="56"/>
        <v>113.25604611443211</v>
      </c>
      <c r="W67" s="75">
        <f t="shared" si="56"/>
        <v>113.25604611443211</v>
      </c>
      <c r="X67" s="75">
        <f t="shared" si="56"/>
        <v>113.25604611443211</v>
      </c>
      <c r="Y67" s="75">
        <f t="shared" si="56"/>
        <v>113.25604611443211</v>
      </c>
      <c r="Z67" s="75">
        <f t="shared" si="56"/>
        <v>113.25604611443211</v>
      </c>
      <c r="AA67" s="75">
        <f t="shared" si="56"/>
        <v>113.25604611443211</v>
      </c>
      <c r="AB67" s="75">
        <f t="shared" si="56"/>
        <v>320.78104611443212</v>
      </c>
      <c r="AC67" s="75">
        <f t="shared" si="56"/>
        <v>51.38104611443211</v>
      </c>
      <c r="AD67" s="75">
        <f t="shared" si="56"/>
        <v>51.38104611443211</v>
      </c>
      <c r="AE67" s="75">
        <f t="shared" si="56"/>
        <v>51.38104611443211</v>
      </c>
      <c r="AF67" s="75">
        <f t="shared" si="56"/>
        <v>51.38104611443211</v>
      </c>
      <c r="AG67" s="75">
        <f t="shared" si="56"/>
        <v>51.38104611443211</v>
      </c>
      <c r="AH67" s="75">
        <f t="shared" si="56"/>
        <v>51.38104611443211</v>
      </c>
      <c r="AI67" s="75">
        <f t="shared" si="56"/>
        <v>51.38104611443211</v>
      </c>
      <c r="AJ67" s="75">
        <f t="shared" si="56"/>
        <v>51.38104611443211</v>
      </c>
      <c r="AK67" s="75">
        <f t="shared" si="56"/>
        <v>51.38104611443211</v>
      </c>
      <c r="AL67" s="75">
        <f t="shared" si="56"/>
        <v>51.38104611443211</v>
      </c>
      <c r="AM67" s="75">
        <f t="shared" si="56"/>
        <v>51.38104611443211</v>
      </c>
      <c r="AN67" s="1"/>
    </row>
    <row r="73" spans="1:40" x14ac:dyDescent="0.25">
      <c r="N73">
        <f>2460.21+662.41</f>
        <v>3122.62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54" t="s">
        <v>45</v>
      </c>
      <c r="D2" s="154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152" t="s">
        <v>46</v>
      </c>
      <c r="D7" s="152"/>
      <c r="E7" s="2">
        <v>12</v>
      </c>
    </row>
    <row r="8" spans="3:5" x14ac:dyDescent="0.25">
      <c r="C8" s="153" t="s">
        <v>6</v>
      </c>
      <c r="D8" s="153"/>
      <c r="E8" s="5">
        <f>E5/E7</f>
        <v>546.4</v>
      </c>
    </row>
    <row r="9" spans="3:5" x14ac:dyDescent="0.25">
      <c r="C9" s="153" t="s">
        <v>3</v>
      </c>
      <c r="D9" s="153"/>
      <c r="E9" s="8">
        <v>342</v>
      </c>
    </row>
    <row r="12" spans="3:5" x14ac:dyDescent="0.25">
      <c r="C12" s="153" t="s">
        <v>47</v>
      </c>
      <c r="D12" s="153"/>
      <c r="E12" s="153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5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7</v>
      </c>
      <c r="D18" s="8">
        <v>10814</v>
      </c>
      <c r="E18" s="30"/>
    </row>
    <row r="19" spans="3:5" x14ac:dyDescent="0.25">
      <c r="C19" s="9" t="s">
        <v>8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FEA5-FEFE-43C3-A290-9152C029CACD}">
  <dimension ref="A1:R57"/>
  <sheetViews>
    <sheetView tabSelected="1" topLeftCell="B12" zoomScaleNormal="100" workbookViewId="0">
      <selection activeCell="T28" sqref="T28"/>
    </sheetView>
  </sheetViews>
  <sheetFormatPr baseColWidth="10" defaultRowHeight="15" outlineLevelRow="1" x14ac:dyDescent="0.25"/>
  <cols>
    <col min="1" max="1" width="9" bestFit="1" customWidth="1"/>
    <col min="2" max="2" width="26.140625" bestFit="1" customWidth="1"/>
    <col min="3" max="8" width="11.42578125" hidden="1" customWidth="1"/>
    <col min="9" max="9" width="12" hidden="1" customWidth="1"/>
    <col min="10" max="10" width="10.42578125" hidden="1" customWidth="1"/>
    <col min="11" max="11" width="12" hidden="1" customWidth="1"/>
    <col min="12" max="12" width="14.42578125" hidden="1" customWidth="1"/>
    <col min="13" max="13" width="11.85546875" bestFit="1" customWidth="1"/>
    <col min="14" max="18" width="12" bestFit="1" customWidth="1"/>
  </cols>
  <sheetData>
    <row r="1" spans="1:18" x14ac:dyDescent="0.25">
      <c r="B1" s="77" t="s">
        <v>83</v>
      </c>
    </row>
    <row r="2" spans="1:18" x14ac:dyDescent="0.25">
      <c r="B2" s="77">
        <v>10906</v>
      </c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18" x14ac:dyDescent="0.25">
      <c r="B3" s="77" t="s">
        <v>70</v>
      </c>
      <c r="C3" s="84">
        <v>43709</v>
      </c>
      <c r="D3" s="84">
        <v>43739</v>
      </c>
      <c r="E3" s="84">
        <v>43770</v>
      </c>
      <c r="F3" s="84">
        <v>43800</v>
      </c>
      <c r="G3" s="84">
        <v>43831</v>
      </c>
      <c r="H3" s="84">
        <v>43862</v>
      </c>
      <c r="I3" s="84">
        <v>43891</v>
      </c>
      <c r="J3" s="84">
        <v>43922</v>
      </c>
      <c r="K3" s="84">
        <v>43952</v>
      </c>
      <c r="L3" s="84">
        <v>43983</v>
      </c>
      <c r="M3" s="84">
        <v>44013</v>
      </c>
      <c r="N3" s="84">
        <v>44044</v>
      </c>
      <c r="O3" s="84">
        <v>44075</v>
      </c>
      <c r="P3" s="84">
        <v>44105</v>
      </c>
      <c r="Q3" s="84">
        <v>44136</v>
      </c>
      <c r="R3" s="84">
        <v>44166</v>
      </c>
    </row>
    <row r="4" spans="1:18" x14ac:dyDescent="0.25">
      <c r="B4" t="s">
        <v>72</v>
      </c>
      <c r="C4">
        <v>684</v>
      </c>
      <c r="D4">
        <v>684</v>
      </c>
      <c r="E4">
        <v>342</v>
      </c>
      <c r="F4">
        <v>342</v>
      </c>
      <c r="G4">
        <v>342</v>
      </c>
      <c r="H4">
        <v>342</v>
      </c>
      <c r="I4">
        <v>342</v>
      </c>
      <c r="J4">
        <v>342</v>
      </c>
      <c r="K4">
        <v>342</v>
      </c>
      <c r="L4">
        <v>342</v>
      </c>
      <c r="M4">
        <v>0</v>
      </c>
    </row>
    <row r="5" spans="1:18" x14ac:dyDescent="0.25">
      <c r="B5" t="s">
        <v>73</v>
      </c>
      <c r="C5">
        <v>84</v>
      </c>
      <c r="D5">
        <v>77</v>
      </c>
      <c r="E5">
        <v>109</v>
      </c>
      <c r="F5">
        <v>73</v>
      </c>
      <c r="G5">
        <v>0</v>
      </c>
      <c r="H5">
        <v>78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</row>
    <row r="6" spans="1:18" x14ac:dyDescent="0.25">
      <c r="B6" t="s">
        <v>71</v>
      </c>
      <c r="C6">
        <f>B2-C4</f>
        <v>10222</v>
      </c>
      <c r="D6">
        <f>C10-D4</f>
        <v>9622</v>
      </c>
      <c r="E6">
        <f>D10-E4</f>
        <v>9357</v>
      </c>
      <c r="F6">
        <f>E10-F4</f>
        <v>9124</v>
      </c>
      <c r="G6">
        <f t="shared" ref="G6:R6" si="0">F10-G4</f>
        <v>8855</v>
      </c>
      <c r="H6">
        <f t="shared" si="0"/>
        <v>8513</v>
      </c>
      <c r="I6">
        <f t="shared" si="0"/>
        <v>8249</v>
      </c>
      <c r="J6">
        <f t="shared" si="0"/>
        <v>7907</v>
      </c>
      <c r="K6">
        <f t="shared" si="0"/>
        <v>7565</v>
      </c>
      <c r="L6">
        <f t="shared" si="0"/>
        <v>7223</v>
      </c>
      <c r="M6">
        <f t="shared" si="0"/>
        <v>7223</v>
      </c>
      <c r="N6">
        <f t="shared" si="0"/>
        <v>7223</v>
      </c>
      <c r="O6">
        <f t="shared" si="0"/>
        <v>7223</v>
      </c>
      <c r="P6">
        <f t="shared" si="0"/>
        <v>7223</v>
      </c>
      <c r="Q6">
        <f t="shared" si="0"/>
        <v>7223</v>
      </c>
      <c r="R6">
        <f t="shared" si="0"/>
        <v>7223</v>
      </c>
    </row>
    <row r="7" spans="1:18" x14ac:dyDescent="0.25">
      <c r="B7" t="s">
        <v>78</v>
      </c>
      <c r="C7">
        <v>0</v>
      </c>
      <c r="D7">
        <v>523</v>
      </c>
      <c r="E7">
        <v>0</v>
      </c>
      <c r="F7">
        <v>0</v>
      </c>
      <c r="G7">
        <v>0</v>
      </c>
      <c r="H7">
        <v>70</v>
      </c>
      <c r="I7">
        <v>0</v>
      </c>
      <c r="J7">
        <v>0</v>
      </c>
      <c r="L7">
        <v>2500</v>
      </c>
      <c r="M7">
        <v>2500</v>
      </c>
    </row>
    <row r="8" spans="1:18" x14ac:dyDescent="0.25">
      <c r="B8" t="s">
        <v>79</v>
      </c>
      <c r="C8">
        <v>180</v>
      </c>
      <c r="D8">
        <v>5</v>
      </c>
      <c r="E8">
        <v>215</v>
      </c>
      <c r="F8">
        <v>0</v>
      </c>
      <c r="G8">
        <v>0</v>
      </c>
      <c r="H8">
        <v>100</v>
      </c>
      <c r="I8">
        <v>0</v>
      </c>
      <c r="J8">
        <v>0</v>
      </c>
      <c r="L8">
        <v>0</v>
      </c>
      <c r="M8">
        <v>0</v>
      </c>
    </row>
    <row r="9" spans="1:18" x14ac:dyDescent="0.25">
      <c r="B9" t="s">
        <v>81</v>
      </c>
      <c r="C9">
        <v>0</v>
      </c>
      <c r="D9">
        <v>0</v>
      </c>
      <c r="E9">
        <v>789</v>
      </c>
      <c r="F9">
        <v>684</v>
      </c>
      <c r="G9">
        <v>342</v>
      </c>
      <c r="H9">
        <f>H4</f>
        <v>342</v>
      </c>
      <c r="I9">
        <f t="shared" ref="I9:L9" si="1">I4</f>
        <v>342</v>
      </c>
      <c r="J9">
        <f t="shared" si="1"/>
        <v>342</v>
      </c>
      <c r="K9">
        <f t="shared" si="1"/>
        <v>342</v>
      </c>
      <c r="L9">
        <f t="shared" si="1"/>
        <v>342</v>
      </c>
      <c r="M9">
        <v>0</v>
      </c>
    </row>
    <row r="10" spans="1:18" x14ac:dyDescent="0.25">
      <c r="B10" s="78" t="s">
        <v>74</v>
      </c>
      <c r="C10" s="78">
        <f>C6+C5</f>
        <v>10306</v>
      </c>
      <c r="D10" s="78">
        <f>D6+D5</f>
        <v>9699</v>
      </c>
      <c r="E10" s="78">
        <f>E6+E5</f>
        <v>9466</v>
      </c>
      <c r="F10" s="78">
        <f>F6+F5</f>
        <v>9197</v>
      </c>
      <c r="G10" s="78">
        <f t="shared" ref="G10:R10" si="2">G6+G5</f>
        <v>8855</v>
      </c>
      <c r="H10" s="78">
        <f t="shared" si="2"/>
        <v>8591</v>
      </c>
      <c r="I10" s="78">
        <f t="shared" si="2"/>
        <v>8249</v>
      </c>
      <c r="J10" s="78">
        <f t="shared" si="2"/>
        <v>7907</v>
      </c>
      <c r="K10" s="78">
        <f t="shared" si="2"/>
        <v>7565</v>
      </c>
      <c r="L10" s="78">
        <f t="shared" si="2"/>
        <v>7223</v>
      </c>
      <c r="M10" s="78">
        <f t="shared" si="2"/>
        <v>7223</v>
      </c>
      <c r="N10" s="78">
        <f t="shared" si="2"/>
        <v>7223</v>
      </c>
      <c r="O10" s="78">
        <f t="shared" si="2"/>
        <v>7223</v>
      </c>
      <c r="P10" s="78">
        <f t="shared" si="2"/>
        <v>7223</v>
      </c>
      <c r="Q10" s="78">
        <f t="shared" si="2"/>
        <v>7223</v>
      </c>
      <c r="R10" s="78">
        <f t="shared" si="2"/>
        <v>7223</v>
      </c>
    </row>
    <row r="11" spans="1:18" x14ac:dyDescent="0.25">
      <c r="B11" t="s">
        <v>75</v>
      </c>
      <c r="C11">
        <v>10306</v>
      </c>
      <c r="D11">
        <v>9699</v>
      </c>
      <c r="E11">
        <v>9466</v>
      </c>
    </row>
    <row r="13" spans="1:18" x14ac:dyDescent="0.25">
      <c r="A13" s="85">
        <v>0.28079999999999999</v>
      </c>
      <c r="B13" t="s">
        <v>7</v>
      </c>
      <c r="C13" s="1">
        <f>C10*$A$13</f>
        <v>2893.9247999999998</v>
      </c>
      <c r="D13" s="1">
        <f>D10*$A$13</f>
        <v>2723.4791999999998</v>
      </c>
      <c r="E13" s="1">
        <f>E10*$A$13</f>
        <v>2658.0527999999999</v>
      </c>
      <c r="F13" s="1">
        <f t="shared" ref="F13:R13" si="3">F10*$A$13</f>
        <v>2582.5176000000001</v>
      </c>
      <c r="G13" s="1">
        <f t="shared" si="3"/>
        <v>2486.4839999999999</v>
      </c>
      <c r="H13" s="1">
        <f t="shared" si="3"/>
        <v>2412.3528000000001</v>
      </c>
      <c r="I13" s="1">
        <f t="shared" si="3"/>
        <v>2316.3191999999999</v>
      </c>
      <c r="J13" s="1">
        <f t="shared" si="3"/>
        <v>2220.2856000000002</v>
      </c>
      <c r="K13" s="1">
        <f t="shared" si="3"/>
        <v>2124.252</v>
      </c>
      <c r="L13" s="1">
        <f t="shared" si="3"/>
        <v>2028.2184</v>
      </c>
      <c r="M13" s="1">
        <f t="shared" si="3"/>
        <v>2028.2184</v>
      </c>
      <c r="N13" s="1">
        <f t="shared" si="3"/>
        <v>2028.2184</v>
      </c>
      <c r="O13" s="1">
        <f t="shared" si="3"/>
        <v>2028.2184</v>
      </c>
      <c r="P13" s="1">
        <f t="shared" si="3"/>
        <v>2028.2184</v>
      </c>
      <c r="Q13" s="1">
        <f t="shared" si="3"/>
        <v>2028.2184</v>
      </c>
      <c r="R13" s="1">
        <f t="shared" si="3"/>
        <v>2028.2184</v>
      </c>
    </row>
    <row r="14" spans="1:18" x14ac:dyDescent="0.25">
      <c r="A14" s="86">
        <v>1.6</v>
      </c>
      <c r="B14" t="s">
        <v>76</v>
      </c>
      <c r="C14" s="1">
        <f>C4*$A$14</f>
        <v>1094.4000000000001</v>
      </c>
      <c r="D14" s="1">
        <f>D4*$A$14</f>
        <v>1094.4000000000001</v>
      </c>
      <c r="E14" s="1">
        <f>E4*$A$14</f>
        <v>547.20000000000005</v>
      </c>
      <c r="F14" s="1">
        <f t="shared" ref="F14:R14" si="4">F4*$A$14</f>
        <v>547.20000000000005</v>
      </c>
      <c r="G14" s="1">
        <f t="shared" si="4"/>
        <v>547.20000000000005</v>
      </c>
      <c r="H14" s="1">
        <f t="shared" si="4"/>
        <v>547.20000000000005</v>
      </c>
      <c r="I14" s="1">
        <f t="shared" si="4"/>
        <v>547.20000000000005</v>
      </c>
      <c r="J14" s="1">
        <f>J4*$A$14</f>
        <v>547.20000000000005</v>
      </c>
      <c r="K14" s="1">
        <f t="shared" si="4"/>
        <v>547.20000000000005</v>
      </c>
      <c r="L14" s="1">
        <f t="shared" si="4"/>
        <v>547.20000000000005</v>
      </c>
      <c r="M14" s="1">
        <f t="shared" si="4"/>
        <v>0</v>
      </c>
      <c r="N14" s="1">
        <f t="shared" si="4"/>
        <v>0</v>
      </c>
      <c r="O14" s="1">
        <f t="shared" si="4"/>
        <v>0</v>
      </c>
      <c r="P14" s="1">
        <f t="shared" si="4"/>
        <v>0</v>
      </c>
      <c r="Q14" s="1">
        <f t="shared" si="4"/>
        <v>0</v>
      </c>
      <c r="R14" s="1">
        <f t="shared" si="4"/>
        <v>0</v>
      </c>
    </row>
    <row r="15" spans="1:18" x14ac:dyDescent="0.25">
      <c r="B15" t="s">
        <v>77</v>
      </c>
      <c r="C15" s="1">
        <f>SUM(C16:C18)</f>
        <v>414.49919999999997</v>
      </c>
      <c r="D15" s="1">
        <f t="shared" ref="D15:E15" si="5">SUM(D16:D18)</f>
        <v>256.82160000000005</v>
      </c>
      <c r="E15" s="1">
        <f t="shared" si="5"/>
        <v>509.00020000000006</v>
      </c>
      <c r="F15" s="1">
        <f>SUM(F16:F18)</f>
        <v>117.1139</v>
      </c>
      <c r="G15" s="1">
        <f t="shared" ref="G15" si="6">SUM(G16:G18)</f>
        <v>0</v>
      </c>
      <c r="H15" s="1">
        <f t="shared" ref="H15" si="7">SUM(H16:H18)</f>
        <v>297.34540000000004</v>
      </c>
      <c r="I15" s="1">
        <f t="shared" ref="I15" si="8">SUM(I16:I18)</f>
        <v>0</v>
      </c>
      <c r="J15" s="1">
        <f t="shared" ref="J15" si="9">SUM(J16:J18)</f>
        <v>0</v>
      </c>
      <c r="K15" s="1">
        <f t="shared" ref="K15" si="10">SUM(K16:K18)</f>
        <v>0</v>
      </c>
      <c r="L15" s="1">
        <f t="shared" ref="L15" si="11">SUM(L16:L18)</f>
        <v>600</v>
      </c>
      <c r="M15" s="1">
        <f>SUM(M16:M18)</f>
        <v>600</v>
      </c>
      <c r="N15" s="1">
        <f t="shared" ref="N15" si="12">SUM(N16:N18)</f>
        <v>0</v>
      </c>
      <c r="O15" s="1">
        <f t="shared" ref="O15" si="13">SUM(O16:O18)</f>
        <v>0</v>
      </c>
      <c r="P15" s="1">
        <f t="shared" ref="P15" si="14">SUM(P16:P18)</f>
        <v>0</v>
      </c>
      <c r="Q15" s="1">
        <f t="shared" ref="Q15" si="15">SUM(Q16:Q18)</f>
        <v>0</v>
      </c>
      <c r="R15" s="1">
        <f t="shared" ref="R15" si="16">SUM(R16:R18)</f>
        <v>0</v>
      </c>
    </row>
    <row r="16" spans="1:18" outlineLevel="1" x14ac:dyDescent="0.25">
      <c r="A16" s="85">
        <v>1.6043000000000001</v>
      </c>
      <c r="B16" t="s">
        <v>90</v>
      </c>
      <c r="C16" s="1">
        <f>C5*$A$16</f>
        <v>134.7612</v>
      </c>
      <c r="D16" s="1">
        <f t="shared" ref="D16:E16" si="17">D5*$A$16</f>
        <v>123.53110000000001</v>
      </c>
      <c r="E16" s="1">
        <f t="shared" si="17"/>
        <v>174.86870000000002</v>
      </c>
      <c r="F16" s="1">
        <f>F5*$A$16</f>
        <v>117.1139</v>
      </c>
      <c r="G16" s="1">
        <f t="shared" ref="G16:R16" si="18">G5*$A$16</f>
        <v>0</v>
      </c>
      <c r="H16" s="1">
        <f t="shared" si="18"/>
        <v>125.1354</v>
      </c>
      <c r="I16" s="1">
        <f t="shared" si="18"/>
        <v>0</v>
      </c>
      <c r="J16" s="1">
        <f t="shared" si="18"/>
        <v>0</v>
      </c>
      <c r="K16" s="1">
        <f t="shared" si="18"/>
        <v>0</v>
      </c>
      <c r="L16" s="1">
        <f t="shared" si="18"/>
        <v>0</v>
      </c>
      <c r="M16" s="1">
        <f t="shared" si="18"/>
        <v>0</v>
      </c>
      <c r="N16" s="1">
        <f t="shared" si="18"/>
        <v>0</v>
      </c>
      <c r="O16" s="1">
        <f t="shared" si="18"/>
        <v>0</v>
      </c>
      <c r="P16" s="1">
        <f t="shared" si="18"/>
        <v>0</v>
      </c>
      <c r="Q16" s="1">
        <f t="shared" si="18"/>
        <v>0</v>
      </c>
      <c r="R16" s="1">
        <f t="shared" si="18"/>
        <v>0</v>
      </c>
    </row>
    <row r="17" spans="1:18" outlineLevel="1" x14ac:dyDescent="0.25">
      <c r="A17" s="86">
        <v>0.24</v>
      </c>
      <c r="B17" t="s">
        <v>104</v>
      </c>
      <c r="C17" s="1">
        <f>$A$17*C7</f>
        <v>0</v>
      </c>
      <c r="D17" s="1">
        <f t="shared" ref="D17:E17" si="19">$A$17*D7</f>
        <v>125.52</v>
      </c>
      <c r="E17" s="1">
        <f t="shared" si="19"/>
        <v>0</v>
      </c>
      <c r="F17" s="1">
        <f t="shared" ref="F17:R17" si="20">$A$17*F7</f>
        <v>0</v>
      </c>
      <c r="G17" s="1">
        <f t="shared" si="20"/>
        <v>0</v>
      </c>
      <c r="H17" s="1">
        <f t="shared" si="20"/>
        <v>16.8</v>
      </c>
      <c r="I17" s="1">
        <f t="shared" si="20"/>
        <v>0</v>
      </c>
      <c r="J17" s="1">
        <f t="shared" si="20"/>
        <v>0</v>
      </c>
      <c r="K17" s="1">
        <f t="shared" si="20"/>
        <v>0</v>
      </c>
      <c r="L17" s="1">
        <f t="shared" si="20"/>
        <v>600</v>
      </c>
      <c r="M17" s="1">
        <f t="shared" si="20"/>
        <v>600</v>
      </c>
      <c r="N17" s="1">
        <f t="shared" si="20"/>
        <v>0</v>
      </c>
      <c r="O17" s="1">
        <f t="shared" si="20"/>
        <v>0</v>
      </c>
      <c r="P17" s="1">
        <f t="shared" si="20"/>
        <v>0</v>
      </c>
      <c r="Q17" s="1">
        <f t="shared" si="20"/>
        <v>0</v>
      </c>
      <c r="R17" s="1">
        <f t="shared" si="20"/>
        <v>0</v>
      </c>
    </row>
    <row r="18" spans="1:18" outlineLevel="1" x14ac:dyDescent="0.25">
      <c r="A18" s="85">
        <v>1.5541</v>
      </c>
      <c r="B18" t="s">
        <v>79</v>
      </c>
      <c r="C18" s="79">
        <f>$A$18*C8</f>
        <v>279.738</v>
      </c>
      <c r="D18" s="79">
        <f t="shared" ref="D18:E18" si="21">$A$18*D8</f>
        <v>7.7705000000000002</v>
      </c>
      <c r="E18" s="79">
        <f t="shared" si="21"/>
        <v>334.13150000000002</v>
      </c>
      <c r="F18" s="79">
        <f t="shared" ref="F18:R18" si="22">$A$18*F8</f>
        <v>0</v>
      </c>
      <c r="G18" s="79">
        <f t="shared" si="22"/>
        <v>0</v>
      </c>
      <c r="H18" s="79">
        <f t="shared" si="22"/>
        <v>155.41</v>
      </c>
      <c r="I18" s="79">
        <f t="shared" si="22"/>
        <v>0</v>
      </c>
      <c r="J18" s="79">
        <f t="shared" si="22"/>
        <v>0</v>
      </c>
      <c r="K18" s="79">
        <f t="shared" si="22"/>
        <v>0</v>
      </c>
      <c r="L18" s="79">
        <f t="shared" si="22"/>
        <v>0</v>
      </c>
      <c r="M18" s="79">
        <f t="shared" si="22"/>
        <v>0</v>
      </c>
      <c r="N18" s="79">
        <f t="shared" si="22"/>
        <v>0</v>
      </c>
      <c r="O18" s="79">
        <f t="shared" si="22"/>
        <v>0</v>
      </c>
      <c r="P18" s="79">
        <f t="shared" si="22"/>
        <v>0</v>
      </c>
      <c r="Q18" s="79">
        <f t="shared" si="22"/>
        <v>0</v>
      </c>
      <c r="R18" s="79">
        <f t="shared" si="22"/>
        <v>0</v>
      </c>
    </row>
    <row r="19" spans="1:18" x14ac:dyDescent="0.25">
      <c r="A19" s="86">
        <v>0</v>
      </c>
      <c r="B19" t="s">
        <v>82</v>
      </c>
      <c r="C19" s="1">
        <f>$A$19*C9</f>
        <v>0</v>
      </c>
      <c r="D19" s="1">
        <f t="shared" ref="D19:R19" si="23">$A$19*D9</f>
        <v>0</v>
      </c>
      <c r="E19" s="1">
        <f t="shared" si="23"/>
        <v>0</v>
      </c>
      <c r="F19" s="1">
        <f t="shared" si="23"/>
        <v>0</v>
      </c>
      <c r="G19" s="1">
        <f t="shared" si="23"/>
        <v>0</v>
      </c>
      <c r="H19" s="1">
        <f t="shared" si="23"/>
        <v>0</v>
      </c>
      <c r="I19" s="1">
        <f t="shared" si="23"/>
        <v>0</v>
      </c>
      <c r="J19" s="1">
        <f t="shared" si="23"/>
        <v>0</v>
      </c>
      <c r="K19" s="1">
        <f t="shared" si="23"/>
        <v>0</v>
      </c>
      <c r="L19" s="1">
        <f t="shared" si="23"/>
        <v>0</v>
      </c>
      <c r="M19" s="1">
        <f t="shared" si="23"/>
        <v>0</v>
      </c>
      <c r="N19" s="1">
        <f t="shared" si="23"/>
        <v>0</v>
      </c>
      <c r="O19" s="1">
        <f t="shared" si="23"/>
        <v>0</v>
      </c>
      <c r="P19" s="1">
        <f t="shared" si="23"/>
        <v>0</v>
      </c>
      <c r="Q19" s="1">
        <f t="shared" si="23"/>
        <v>0</v>
      </c>
      <c r="R19" s="1">
        <f t="shared" si="23"/>
        <v>0</v>
      </c>
    </row>
    <row r="20" spans="1:18" x14ac:dyDescent="0.25">
      <c r="A20" s="85">
        <v>0.28079999999999999</v>
      </c>
      <c r="B20" t="s">
        <v>91</v>
      </c>
      <c r="C20" s="1">
        <f>$A$20*C5</f>
        <v>23.587199999999999</v>
      </c>
      <c r="D20" s="1">
        <f>$A$20*D5</f>
        <v>21.621600000000001</v>
      </c>
      <c r="E20" s="1">
        <f t="shared" ref="E20:R20" si="24">$A$20*E5</f>
        <v>30.607199999999999</v>
      </c>
      <c r="F20" s="1">
        <f t="shared" si="24"/>
        <v>20.4984</v>
      </c>
      <c r="G20" s="1">
        <f t="shared" si="24"/>
        <v>0</v>
      </c>
      <c r="H20" s="1">
        <f t="shared" si="24"/>
        <v>21.9024</v>
      </c>
      <c r="I20" s="1">
        <f t="shared" si="24"/>
        <v>0</v>
      </c>
      <c r="J20" s="1">
        <f t="shared" si="24"/>
        <v>0</v>
      </c>
      <c r="K20" s="1">
        <f t="shared" si="24"/>
        <v>0</v>
      </c>
      <c r="L20" s="1">
        <f t="shared" si="24"/>
        <v>0</v>
      </c>
      <c r="M20" s="1">
        <f t="shared" si="24"/>
        <v>0</v>
      </c>
      <c r="N20" s="1">
        <f t="shared" si="24"/>
        <v>0</v>
      </c>
      <c r="O20" s="1">
        <f t="shared" si="24"/>
        <v>0</v>
      </c>
      <c r="P20" s="1">
        <f t="shared" si="24"/>
        <v>0</v>
      </c>
      <c r="Q20" s="1">
        <f t="shared" si="24"/>
        <v>0</v>
      </c>
      <c r="R20" s="1">
        <f t="shared" si="24"/>
        <v>0</v>
      </c>
    </row>
    <row r="21" spans="1:18" x14ac:dyDescent="0.25">
      <c r="B21" t="s">
        <v>80</v>
      </c>
      <c r="C21" s="1">
        <f t="shared" ref="C21:E21" si="25">C13+C14+C15+C20</f>
        <v>4426.4111999999996</v>
      </c>
      <c r="D21" s="1">
        <f t="shared" si="25"/>
        <v>4096.3224</v>
      </c>
      <c r="E21" s="1">
        <f t="shared" si="25"/>
        <v>3744.8602000000001</v>
      </c>
      <c r="F21" s="1">
        <f>F13+F14+F15+F20</f>
        <v>3267.3298999999997</v>
      </c>
      <c r="G21" s="1">
        <f t="shared" ref="G21:R21" si="26">G13+G14+G15+G20</f>
        <v>3033.6840000000002</v>
      </c>
      <c r="H21" s="1">
        <f t="shared" si="26"/>
        <v>3278.8006000000005</v>
      </c>
      <c r="I21" s="1">
        <f t="shared" si="26"/>
        <v>2863.5191999999997</v>
      </c>
      <c r="J21" s="1">
        <f t="shared" si="26"/>
        <v>2767.4856</v>
      </c>
      <c r="K21" s="1">
        <f t="shared" si="26"/>
        <v>2671.4520000000002</v>
      </c>
      <c r="L21" s="1">
        <f t="shared" si="26"/>
        <v>3175.4184</v>
      </c>
      <c r="M21" s="1">
        <f t="shared" si="26"/>
        <v>2628.2183999999997</v>
      </c>
      <c r="N21" s="1">
        <f t="shared" si="26"/>
        <v>2028.2184</v>
      </c>
      <c r="O21" s="1">
        <f t="shared" si="26"/>
        <v>2028.2184</v>
      </c>
      <c r="P21" s="1">
        <f t="shared" si="26"/>
        <v>2028.2184</v>
      </c>
      <c r="Q21" s="1">
        <f t="shared" si="26"/>
        <v>2028.2184</v>
      </c>
      <c r="R21" s="1">
        <f t="shared" si="26"/>
        <v>2028.2184</v>
      </c>
    </row>
    <row r="23" spans="1:18" x14ac:dyDescent="0.25">
      <c r="B23" s="77" t="s">
        <v>84</v>
      </c>
    </row>
    <row r="24" spans="1:18" x14ac:dyDescent="0.25">
      <c r="B24" s="81">
        <f>Flujo!C31+Flujo!D31+Flujo!E31+Flujo!F31</f>
        <v>9345.8582408198126</v>
      </c>
    </row>
    <row r="25" spans="1:18" x14ac:dyDescent="0.25">
      <c r="B25" s="77" t="s">
        <v>70</v>
      </c>
      <c r="C25" s="84">
        <v>43709</v>
      </c>
      <c r="D25" s="84">
        <v>43739</v>
      </c>
      <c r="E25" s="84">
        <v>43770</v>
      </c>
      <c r="F25" s="84">
        <v>43800</v>
      </c>
      <c r="G25" s="84">
        <v>43831</v>
      </c>
      <c r="H25" s="84">
        <v>43862</v>
      </c>
      <c r="I25" s="84">
        <v>43891</v>
      </c>
      <c r="J25" s="84">
        <v>43922</v>
      </c>
      <c r="K25" s="84">
        <v>43952</v>
      </c>
      <c r="L25" s="84">
        <v>43983</v>
      </c>
      <c r="M25" s="84">
        <v>44013</v>
      </c>
      <c r="N25" s="84">
        <v>44044</v>
      </c>
      <c r="O25" s="84">
        <v>44075</v>
      </c>
      <c r="P25" s="84">
        <v>44105</v>
      </c>
      <c r="Q25" s="84">
        <v>44136</v>
      </c>
      <c r="R25" s="84">
        <v>44166</v>
      </c>
    </row>
    <row r="26" spans="1:18" x14ac:dyDescent="0.25">
      <c r="B26" t="s">
        <v>87</v>
      </c>
      <c r="C26">
        <v>0</v>
      </c>
      <c r="D26">
        <v>0</v>
      </c>
      <c r="E26" s="30">
        <f>Flujo!G31</f>
        <v>2336.4645602049532</v>
      </c>
      <c r="F26" s="30">
        <f>Flujo!H31</f>
        <v>2336.4645602049532</v>
      </c>
      <c r="G26" s="30">
        <f>Flujo!I31</f>
        <v>2336.4645602049532</v>
      </c>
      <c r="H26" s="30">
        <f>Flujo!J31</f>
        <v>4672.9291204099063</v>
      </c>
      <c r="I26" s="30">
        <f>Flujo!K31</f>
        <v>4672.9291204099063</v>
      </c>
      <c r="J26" s="30">
        <f>Flujo!L31</f>
        <v>4672.9291204099063</v>
      </c>
      <c r="K26" s="30">
        <f>Flujo!M31</f>
        <v>4672.9291204099063</v>
      </c>
      <c r="L26" s="30">
        <f>Flujo!N31</f>
        <v>4672.9291204099063</v>
      </c>
      <c r="M26" s="30">
        <f>Flujo!O31</f>
        <v>4672.9291204099063</v>
      </c>
      <c r="N26" s="30">
        <f>Flujo!P31</f>
        <v>4672.9291204099063</v>
      </c>
      <c r="O26" s="30">
        <f>Flujo!Q31</f>
        <v>4672.9291204099063</v>
      </c>
      <c r="P26" s="30">
        <f>Flujo!R31</f>
        <v>4672.9291204099063</v>
      </c>
      <c r="Q26" s="30">
        <f>Flujo!S31</f>
        <v>4672.9291204099063</v>
      </c>
      <c r="R26" s="30">
        <f>Flujo!T31</f>
        <v>4672.9291204099063</v>
      </c>
    </row>
    <row r="27" spans="1:18" x14ac:dyDescent="0.25">
      <c r="A27" s="85">
        <v>0.1171</v>
      </c>
      <c r="B27" t="s">
        <v>49</v>
      </c>
      <c r="C27">
        <v>0</v>
      </c>
      <c r="D27">
        <v>0</v>
      </c>
      <c r="E27" s="78">
        <v>1656</v>
      </c>
      <c r="F27" s="82">
        <f>F26+E28</f>
        <v>3016.9291204099063</v>
      </c>
      <c r="G27" s="82">
        <v>1828</v>
      </c>
      <c r="H27" s="78">
        <v>1045</v>
      </c>
      <c r="I27" s="78">
        <v>6589</v>
      </c>
      <c r="J27" s="78">
        <v>2900</v>
      </c>
      <c r="K27" s="78">
        <f>2110+735</f>
        <v>2845</v>
      </c>
      <c r="L27" s="78">
        <v>1622</v>
      </c>
      <c r="M27" s="78">
        <v>2050</v>
      </c>
      <c r="N27" s="78">
        <v>12176</v>
      </c>
      <c r="O27" s="78">
        <v>2514</v>
      </c>
      <c r="P27" s="78">
        <v>2907</v>
      </c>
      <c r="Q27" s="78">
        <v>0</v>
      </c>
      <c r="R27" s="78">
        <v>6980</v>
      </c>
    </row>
    <row r="28" spans="1:18" x14ac:dyDescent="0.25">
      <c r="B28" t="s">
        <v>86</v>
      </c>
      <c r="C28">
        <f>C26-C27</f>
        <v>0</v>
      </c>
      <c r="D28">
        <v>0</v>
      </c>
      <c r="E28" s="30">
        <f>E26-E27</f>
        <v>680.46456020495316</v>
      </c>
      <c r="F28" s="30">
        <f>F27-F26</f>
        <v>680.46456020495316</v>
      </c>
      <c r="G28" s="30">
        <f t="shared" ref="G28:R28" si="27">(G26-G27)+F28</f>
        <v>1188.9291204099063</v>
      </c>
      <c r="H28" s="30">
        <f t="shared" si="27"/>
        <v>4816.8582408198126</v>
      </c>
      <c r="I28" s="30">
        <f t="shared" si="27"/>
        <v>2900.787361229719</v>
      </c>
      <c r="J28" s="30">
        <f t="shared" si="27"/>
        <v>4673.7164816396253</v>
      </c>
      <c r="K28" s="30">
        <f t="shared" si="27"/>
        <v>6501.6456020495316</v>
      </c>
      <c r="L28" s="30">
        <f t="shared" si="27"/>
        <v>9552.5747224594379</v>
      </c>
      <c r="M28" s="30">
        <f t="shared" si="27"/>
        <v>12175.503842869344</v>
      </c>
      <c r="N28" s="30">
        <f t="shared" si="27"/>
        <v>4672.4329632792505</v>
      </c>
      <c r="O28" s="30">
        <f t="shared" si="27"/>
        <v>6831.3620836891569</v>
      </c>
      <c r="P28" s="30">
        <f t="shared" si="27"/>
        <v>8597.2912040990632</v>
      </c>
      <c r="Q28" s="30">
        <f t="shared" si="27"/>
        <v>13270.220324508969</v>
      </c>
      <c r="R28" s="30">
        <f t="shared" si="27"/>
        <v>10963.149444918876</v>
      </c>
    </row>
    <row r="29" spans="1:18" hidden="1" x14ac:dyDescent="0.25">
      <c r="B29" t="s">
        <v>92</v>
      </c>
      <c r="C29">
        <v>0</v>
      </c>
      <c r="D29">
        <f>D26*C29</f>
        <v>0</v>
      </c>
      <c r="E29" s="1">
        <f t="shared" ref="E29:R29" si="28">E26*$A$27</f>
        <v>273.60000000000002</v>
      </c>
      <c r="F29" s="1">
        <f t="shared" si="28"/>
        <v>273.60000000000002</v>
      </c>
      <c r="G29" s="1">
        <f t="shared" si="28"/>
        <v>273.60000000000002</v>
      </c>
      <c r="H29" s="1">
        <f t="shared" si="28"/>
        <v>547.20000000000005</v>
      </c>
      <c r="I29" s="1">
        <f t="shared" si="28"/>
        <v>547.20000000000005</v>
      </c>
      <c r="J29" s="1">
        <f t="shared" si="28"/>
        <v>547.20000000000005</v>
      </c>
      <c r="K29" s="1">
        <f t="shared" si="28"/>
        <v>547.20000000000005</v>
      </c>
      <c r="L29" s="1">
        <f t="shared" si="28"/>
        <v>547.20000000000005</v>
      </c>
      <c r="M29" s="1">
        <f t="shared" si="28"/>
        <v>547.20000000000005</v>
      </c>
      <c r="N29" s="1">
        <f t="shared" si="28"/>
        <v>547.20000000000005</v>
      </c>
      <c r="O29" s="1">
        <f t="shared" si="28"/>
        <v>547.20000000000005</v>
      </c>
      <c r="P29" s="1">
        <f t="shared" si="28"/>
        <v>547.20000000000005</v>
      </c>
      <c r="Q29" s="1">
        <f t="shared" si="28"/>
        <v>547.20000000000005</v>
      </c>
      <c r="R29" s="1">
        <f t="shared" si="28"/>
        <v>547.20000000000005</v>
      </c>
    </row>
    <row r="30" spans="1:18" hidden="1" x14ac:dyDescent="0.25">
      <c r="B30" t="s">
        <v>88</v>
      </c>
      <c r="C30">
        <v>0</v>
      </c>
      <c r="D30" s="1">
        <f>D28*A27</f>
        <v>0</v>
      </c>
      <c r="E30" s="79">
        <f>E28*$A$27</f>
        <v>79.682400000000015</v>
      </c>
      <c r="F30" s="80">
        <f>F28*$A$27</f>
        <v>79.682400000000015</v>
      </c>
      <c r="G30" s="80">
        <f t="shared" ref="G30:R30" si="29">G28*$A$27</f>
        <v>139.22360000000003</v>
      </c>
      <c r="H30" s="80">
        <f>H28*$A$27</f>
        <v>564.05410000000006</v>
      </c>
      <c r="I30" s="80">
        <f t="shared" si="29"/>
        <v>339.68220000000008</v>
      </c>
      <c r="J30" s="80">
        <f t="shared" si="29"/>
        <v>547.29220000000009</v>
      </c>
      <c r="K30" s="80">
        <f t="shared" si="29"/>
        <v>761.34270000000015</v>
      </c>
      <c r="L30" s="80">
        <f t="shared" si="29"/>
        <v>1118.6065000000001</v>
      </c>
      <c r="M30" s="80">
        <f t="shared" si="29"/>
        <v>1425.7515000000001</v>
      </c>
      <c r="N30" s="80">
        <f t="shared" si="29"/>
        <v>547.14190000000019</v>
      </c>
      <c r="O30" s="80">
        <f t="shared" si="29"/>
        <v>799.95250000000021</v>
      </c>
      <c r="P30" s="80">
        <f t="shared" si="29"/>
        <v>1006.7428000000002</v>
      </c>
      <c r="Q30" s="80">
        <f t="shared" si="29"/>
        <v>1553.9428000000003</v>
      </c>
      <c r="R30" s="80">
        <f t="shared" si="29"/>
        <v>1283.7848000000004</v>
      </c>
    </row>
    <row r="31" spans="1:18" x14ac:dyDescent="0.25">
      <c r="B31" t="s">
        <v>136</v>
      </c>
      <c r="D31" s="1"/>
      <c r="E31" s="79"/>
      <c r="F31" s="80"/>
      <c r="G31" s="80"/>
      <c r="H31" s="80"/>
      <c r="I31" s="80"/>
      <c r="J31" s="80"/>
      <c r="K31" s="80"/>
      <c r="L31" s="80"/>
      <c r="M31" s="30">
        <v>2500</v>
      </c>
      <c r="N31" s="30">
        <v>2500</v>
      </c>
      <c r="O31" s="30">
        <v>2500</v>
      </c>
      <c r="P31" s="30">
        <v>2500</v>
      </c>
      <c r="Q31" s="30">
        <v>2500</v>
      </c>
      <c r="R31" s="30">
        <v>2500</v>
      </c>
    </row>
    <row r="32" spans="1:18" x14ac:dyDescent="0.25">
      <c r="B32" t="s">
        <v>137</v>
      </c>
      <c r="D32" s="1"/>
      <c r="E32" s="79"/>
      <c r="F32" s="80"/>
      <c r="G32" s="80"/>
      <c r="H32" s="80"/>
      <c r="I32" s="80"/>
      <c r="J32" s="80"/>
      <c r="K32" s="80"/>
      <c r="L32" s="80"/>
      <c r="M32" s="148"/>
      <c r="N32" s="148"/>
      <c r="O32" s="148"/>
      <c r="P32" s="148"/>
      <c r="Q32" s="148"/>
      <c r="R32" s="148"/>
    </row>
    <row r="33" spans="2:18" x14ac:dyDescent="0.25">
      <c r="B33" s="87" t="s">
        <v>93</v>
      </c>
      <c r="C33" s="87"/>
      <c r="D33" s="87"/>
      <c r="E33" s="87">
        <v>2336</v>
      </c>
      <c r="F33" s="88">
        <f t="shared" ref="F33:R33" si="30">F26+F28</f>
        <v>3016.9291204099063</v>
      </c>
      <c r="G33" s="88">
        <f t="shared" si="30"/>
        <v>3525.3936806148595</v>
      </c>
      <c r="H33" s="88">
        <f t="shared" si="30"/>
        <v>9489.787361229719</v>
      </c>
      <c r="I33" s="88">
        <f t="shared" si="30"/>
        <v>7573.7164816396253</v>
      </c>
      <c r="J33" s="88">
        <f t="shared" si="30"/>
        <v>9346.6456020495316</v>
      </c>
      <c r="K33" s="88">
        <f t="shared" si="30"/>
        <v>11174.574722459438</v>
      </c>
      <c r="L33" s="88">
        <f t="shared" si="30"/>
        <v>14225.503842869344</v>
      </c>
      <c r="M33" s="88">
        <f t="shared" si="30"/>
        <v>16848.432963279251</v>
      </c>
      <c r="N33" s="88">
        <f t="shared" si="30"/>
        <v>9345.3620836891569</v>
      </c>
      <c r="O33" s="88">
        <f t="shared" si="30"/>
        <v>11504.291204099063</v>
      </c>
      <c r="P33" s="88">
        <f t="shared" si="30"/>
        <v>13270.220324508969</v>
      </c>
      <c r="Q33" s="88">
        <f t="shared" si="30"/>
        <v>17943.149444918876</v>
      </c>
      <c r="R33" s="88">
        <f t="shared" si="30"/>
        <v>15636.078565328782</v>
      </c>
    </row>
    <row r="35" spans="2:18" x14ac:dyDescent="0.25">
      <c r="B35" s="77" t="s">
        <v>89</v>
      </c>
      <c r="C35" s="83">
        <f t="shared" ref="C35:R35" si="31">C21+C29</f>
        <v>4426.4111999999996</v>
      </c>
      <c r="D35" s="83">
        <f t="shared" si="31"/>
        <v>4096.3224</v>
      </c>
      <c r="E35" s="83">
        <f t="shared" si="31"/>
        <v>4018.4602</v>
      </c>
      <c r="F35" s="83">
        <f t="shared" si="31"/>
        <v>3540.9298999999996</v>
      </c>
      <c r="G35" s="83">
        <f t="shared" si="31"/>
        <v>3307.2840000000001</v>
      </c>
      <c r="H35" s="83">
        <f t="shared" si="31"/>
        <v>3826.0006000000003</v>
      </c>
      <c r="I35" s="83">
        <f t="shared" si="31"/>
        <v>3410.7191999999995</v>
      </c>
      <c r="J35" s="83">
        <f t="shared" si="31"/>
        <v>3314.6855999999998</v>
      </c>
      <c r="K35" s="83">
        <f t="shared" si="31"/>
        <v>3218.652</v>
      </c>
      <c r="L35" s="83">
        <f t="shared" si="31"/>
        <v>3722.6184000000003</v>
      </c>
      <c r="M35" s="83">
        <f t="shared" si="31"/>
        <v>3175.4183999999996</v>
      </c>
      <c r="N35" s="83">
        <f t="shared" si="31"/>
        <v>2575.4184</v>
      </c>
      <c r="O35" s="83">
        <f t="shared" si="31"/>
        <v>2575.4184</v>
      </c>
      <c r="P35" s="83">
        <f t="shared" si="31"/>
        <v>2575.4184</v>
      </c>
      <c r="Q35" s="83">
        <f t="shared" si="31"/>
        <v>2575.4184</v>
      </c>
      <c r="R35" s="83">
        <f t="shared" si="31"/>
        <v>2575.4184</v>
      </c>
    </row>
    <row r="37" spans="2:18" x14ac:dyDescent="0.25">
      <c r="L37" s="92">
        <f>M37-M35</f>
        <v>-149.41839999999956</v>
      </c>
      <c r="M37" s="93">
        <v>3026</v>
      </c>
      <c r="N37" s="93">
        <v>3026</v>
      </c>
      <c r="O37" s="93">
        <v>3026</v>
      </c>
      <c r="P37" s="93">
        <v>3026</v>
      </c>
      <c r="Q37" s="93">
        <v>3026</v>
      </c>
      <c r="R37" s="93">
        <v>3026</v>
      </c>
    </row>
    <row r="39" spans="2:18" x14ac:dyDescent="0.25">
      <c r="L39" s="91" t="s">
        <v>95</v>
      </c>
      <c r="M39" s="4">
        <v>7500</v>
      </c>
      <c r="N39" s="4">
        <v>7500</v>
      </c>
      <c r="O39" s="4">
        <v>2500</v>
      </c>
      <c r="P39" s="4">
        <v>2500</v>
      </c>
      <c r="Q39" s="4">
        <v>2500</v>
      </c>
      <c r="R39" s="4">
        <v>2500</v>
      </c>
    </row>
    <row r="40" spans="2:18" x14ac:dyDescent="0.25">
      <c r="K40" s="94">
        <f>(45381*3)</f>
        <v>136143</v>
      </c>
      <c r="L40" s="91" t="s">
        <v>96</v>
      </c>
      <c r="M40" s="8">
        <f>K40/15</f>
        <v>9076.2000000000007</v>
      </c>
      <c r="N40" s="8">
        <f>M40</f>
        <v>9076.2000000000007</v>
      </c>
      <c r="O40" s="8">
        <f t="shared" ref="O40:R40" si="32">N40</f>
        <v>9076.2000000000007</v>
      </c>
      <c r="P40" s="8">
        <f t="shared" si="32"/>
        <v>9076.2000000000007</v>
      </c>
      <c r="Q40" s="8">
        <f t="shared" si="32"/>
        <v>9076.2000000000007</v>
      </c>
      <c r="R40" s="8">
        <f t="shared" si="32"/>
        <v>9076.2000000000007</v>
      </c>
    </row>
    <row r="41" spans="2:18" x14ac:dyDescent="0.25">
      <c r="K41" s="94">
        <f>(3000*12)-M50</f>
        <v>22200</v>
      </c>
      <c r="L41" s="91" t="s">
        <v>94</v>
      </c>
      <c r="M41" s="4">
        <f>$K$41/6</f>
        <v>3700</v>
      </c>
      <c r="N41" s="4">
        <f t="shared" ref="N41:R41" si="33">$K$41/6</f>
        <v>3700</v>
      </c>
      <c r="O41" s="4">
        <f t="shared" si="33"/>
        <v>3700</v>
      </c>
      <c r="P41" s="4">
        <f t="shared" si="33"/>
        <v>3700</v>
      </c>
      <c r="Q41" s="4">
        <f t="shared" si="33"/>
        <v>3700</v>
      </c>
      <c r="R41" s="4">
        <f t="shared" si="33"/>
        <v>3700</v>
      </c>
    </row>
    <row r="42" spans="2:18" x14ac:dyDescent="0.25">
      <c r="L42" s="91" t="s">
        <v>97</v>
      </c>
      <c r="M42" s="4">
        <f>SUM(M39:M41)</f>
        <v>20276.2</v>
      </c>
      <c r="N42" s="4">
        <f t="shared" ref="N42:R42" si="34">SUM(N39:N41)</f>
        <v>20276.2</v>
      </c>
      <c r="O42" s="4">
        <f t="shared" si="34"/>
        <v>15276.2</v>
      </c>
      <c r="P42" s="4">
        <f t="shared" si="34"/>
        <v>15276.2</v>
      </c>
      <c r="Q42" s="4">
        <f t="shared" si="34"/>
        <v>15276.2</v>
      </c>
      <c r="R42" s="4">
        <f t="shared" si="34"/>
        <v>15276.2</v>
      </c>
    </row>
    <row r="43" spans="2:18" x14ac:dyDescent="0.25">
      <c r="L43" s="91" t="s">
        <v>2</v>
      </c>
      <c r="M43" s="95">
        <f t="shared" ref="M43:R43" si="35">(M42-M26)*$A$27</f>
        <v>1827.14302</v>
      </c>
      <c r="N43" s="95">
        <f t="shared" si="35"/>
        <v>1827.14302</v>
      </c>
      <c r="O43" s="95">
        <f t="shared" si="35"/>
        <v>1241.64302</v>
      </c>
      <c r="P43" s="95">
        <f t="shared" si="35"/>
        <v>1241.64302</v>
      </c>
      <c r="Q43" s="95">
        <f t="shared" si="35"/>
        <v>1241.64302</v>
      </c>
      <c r="R43" s="95">
        <f t="shared" si="35"/>
        <v>1241.64302</v>
      </c>
    </row>
    <row r="44" spans="2:18" x14ac:dyDescent="0.25">
      <c r="M44" s="30"/>
    </row>
    <row r="45" spans="2:18" x14ac:dyDescent="0.25">
      <c r="L45" s="89" t="s">
        <v>80</v>
      </c>
      <c r="M45" s="19">
        <f>M35+M43</f>
        <v>5002.56142</v>
      </c>
      <c r="N45" s="19">
        <f t="shared" ref="N45:R45" si="36">N35+N43</f>
        <v>4402.56142</v>
      </c>
      <c r="O45" s="19">
        <f t="shared" si="36"/>
        <v>3817.06142</v>
      </c>
      <c r="P45" s="19">
        <f t="shared" si="36"/>
        <v>3817.06142</v>
      </c>
      <c r="Q45" s="19">
        <f t="shared" si="36"/>
        <v>3817.06142</v>
      </c>
      <c r="R45" s="19">
        <f t="shared" si="36"/>
        <v>3817.06142</v>
      </c>
    </row>
    <row r="47" spans="2:18" x14ac:dyDescent="0.25">
      <c r="L47" s="94" t="s">
        <v>98</v>
      </c>
      <c r="M47" s="18">
        <f>M45-M37</f>
        <v>1976.56142</v>
      </c>
      <c r="N47" s="18">
        <f t="shared" ref="N47:R47" si="37">N45-N37</f>
        <v>1376.56142</v>
      </c>
      <c r="O47" s="18">
        <f t="shared" si="37"/>
        <v>791.06142</v>
      </c>
      <c r="P47" s="18">
        <f t="shared" si="37"/>
        <v>791.06142</v>
      </c>
      <c r="Q47" s="18">
        <f t="shared" si="37"/>
        <v>791.06142</v>
      </c>
      <c r="R47" s="18">
        <f t="shared" si="37"/>
        <v>791.06142</v>
      </c>
    </row>
    <row r="50" spans="12:13" x14ac:dyDescent="0.25">
      <c r="L50">
        <f>2099+2006+1984+500</f>
        <v>6589</v>
      </c>
      <c r="M50">
        <f>4600*3</f>
        <v>13800</v>
      </c>
    </row>
    <row r="52" spans="12:13" x14ac:dyDescent="0.25">
      <c r="L52" s="90" t="s">
        <v>99</v>
      </c>
    </row>
    <row r="53" spans="12:13" x14ac:dyDescent="0.25">
      <c r="L53" t="s">
        <v>103</v>
      </c>
    </row>
    <row r="54" spans="12:13" x14ac:dyDescent="0.25">
      <c r="L54" t="s">
        <v>100</v>
      </c>
    </row>
    <row r="55" spans="12:13" x14ac:dyDescent="0.25">
      <c r="L55" t="s">
        <v>101</v>
      </c>
    </row>
    <row r="56" spans="12:13" x14ac:dyDescent="0.25">
      <c r="L56" t="s">
        <v>102</v>
      </c>
    </row>
    <row r="57" spans="12:13" x14ac:dyDescent="0.25">
      <c r="L57">
        <v>1</v>
      </c>
    </row>
  </sheetData>
  <mergeCells count="1">
    <mergeCell ref="C2:R2"/>
  </mergeCells>
  <phoneticPr fontId="6" type="noConversion"/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050C-B04F-4587-8668-CCBFB17B5B1A}">
  <dimension ref="A4:L25"/>
  <sheetViews>
    <sheetView topLeftCell="A16" workbookViewId="0">
      <selection activeCell="D27" sqref="D27"/>
    </sheetView>
  </sheetViews>
  <sheetFormatPr baseColWidth="10" defaultRowHeight="16.5" outlineLevelRow="1" x14ac:dyDescent="0.3"/>
  <cols>
    <col min="1" max="1" width="11.5703125" style="96" bestFit="1" customWidth="1"/>
    <col min="2" max="2" width="15" style="96" bestFit="1" customWidth="1"/>
    <col min="3" max="3" width="37.28515625" style="96" bestFit="1" customWidth="1"/>
    <col min="4" max="4" width="13.28515625" style="97" bestFit="1" customWidth="1"/>
    <col min="5" max="5" width="14.7109375" style="96" bestFit="1" customWidth="1"/>
    <col min="6" max="6" width="14.85546875" style="96" bestFit="1" customWidth="1"/>
    <col min="7" max="7" width="11.42578125" style="96"/>
    <col min="8" max="8" width="14.85546875" style="96" bestFit="1" customWidth="1"/>
    <col min="9" max="12" width="15" style="96" bestFit="1" customWidth="1"/>
    <col min="13" max="16384" width="11.42578125" style="96"/>
  </cols>
  <sheetData>
    <row r="4" spans="1:12" x14ac:dyDescent="0.3">
      <c r="A4" s="114" t="s">
        <v>125</v>
      </c>
      <c r="B4" s="114" t="s">
        <v>126</v>
      </c>
      <c r="C4" s="111" t="s">
        <v>58</v>
      </c>
      <c r="D4" s="100" t="s">
        <v>105</v>
      </c>
      <c r="E4" s="100" t="s">
        <v>106</v>
      </c>
      <c r="F4" s="100" t="s">
        <v>107</v>
      </c>
      <c r="H4" s="100" t="s">
        <v>120</v>
      </c>
      <c r="I4" s="100" t="s">
        <v>121</v>
      </c>
      <c r="J4" s="100" t="s">
        <v>122</v>
      </c>
      <c r="K4" s="100" t="s">
        <v>123</v>
      </c>
      <c r="L4" s="100" t="s">
        <v>124</v>
      </c>
    </row>
    <row r="5" spans="1:12" x14ac:dyDescent="0.3">
      <c r="A5" s="103" t="s">
        <v>112</v>
      </c>
      <c r="B5" s="103">
        <v>9596</v>
      </c>
      <c r="C5" s="127" t="s">
        <v>108</v>
      </c>
      <c r="D5" s="101">
        <v>7223</v>
      </c>
      <c r="E5" s="105">
        <f>'Facturación_Fisica-Dig'!A13</f>
        <v>0.28079999999999999</v>
      </c>
      <c r="F5" s="108">
        <f>D5*E5</f>
        <v>2028.2184</v>
      </c>
      <c r="H5" s="108">
        <f>F5</f>
        <v>2028.2184</v>
      </c>
      <c r="I5" s="108">
        <f>H5</f>
        <v>2028.2184</v>
      </c>
      <c r="J5" s="108">
        <f t="shared" ref="J5:L5" si="0">I5</f>
        <v>2028.2184</v>
      </c>
      <c r="K5" s="108">
        <f t="shared" si="0"/>
        <v>2028.2184</v>
      </c>
      <c r="L5" s="108">
        <f t="shared" si="0"/>
        <v>2028.2184</v>
      </c>
    </row>
    <row r="6" spans="1:12" x14ac:dyDescent="0.3">
      <c r="A6" s="103" t="s">
        <v>113</v>
      </c>
      <c r="B6" s="103">
        <v>10000</v>
      </c>
      <c r="C6" s="127" t="s">
        <v>109</v>
      </c>
      <c r="D6" s="102">
        <f>Flujo!O34</f>
        <v>2500</v>
      </c>
      <c r="E6" s="106">
        <f>'Facturación_Fisica-Dig'!A17</f>
        <v>0.24</v>
      </c>
      <c r="F6" s="109">
        <f t="shared" ref="F6:F11" si="1">D6*E6</f>
        <v>600</v>
      </c>
      <c r="H6" s="109">
        <f t="shared" ref="H6:H11" si="2">F6</f>
        <v>600</v>
      </c>
      <c r="I6" s="109">
        <f t="shared" ref="I6:L6" si="3">H6</f>
        <v>600</v>
      </c>
      <c r="J6" s="109">
        <f t="shared" si="3"/>
        <v>600</v>
      </c>
      <c r="K6" s="109">
        <f t="shared" si="3"/>
        <v>600</v>
      </c>
      <c r="L6" s="109">
        <f t="shared" si="3"/>
        <v>600</v>
      </c>
    </row>
    <row r="7" spans="1:12" x14ac:dyDescent="0.3">
      <c r="A7" s="103" t="s">
        <v>114</v>
      </c>
      <c r="B7" s="103">
        <v>7738</v>
      </c>
      <c r="C7" s="127" t="s">
        <v>119</v>
      </c>
      <c r="D7" s="102">
        <f>(D9+D10)-D8</f>
        <v>6112.2708795900944</v>
      </c>
      <c r="E7" s="106">
        <f>'Facturación_Fisica-Dig'!A27</f>
        <v>0.1171</v>
      </c>
      <c r="F7" s="109">
        <f t="shared" si="1"/>
        <v>715.74692000000005</v>
      </c>
      <c r="H7" s="109">
        <f t="shared" si="2"/>
        <v>715.74692000000005</v>
      </c>
      <c r="I7" s="109">
        <f t="shared" ref="I7:L7" si="4">H7</f>
        <v>715.74692000000005</v>
      </c>
      <c r="J7" s="109">
        <f t="shared" si="4"/>
        <v>715.74692000000005</v>
      </c>
      <c r="K7" s="109">
        <f t="shared" si="4"/>
        <v>715.74692000000005</v>
      </c>
      <c r="L7" s="109">
        <f t="shared" si="4"/>
        <v>715.74692000000005</v>
      </c>
    </row>
    <row r="8" spans="1:12" x14ac:dyDescent="0.3">
      <c r="A8" s="103" t="s">
        <v>115</v>
      </c>
      <c r="B8" s="103">
        <v>6638</v>
      </c>
      <c r="C8" s="128" t="s">
        <v>118</v>
      </c>
      <c r="D8" s="102">
        <f>Flujo!O31</f>
        <v>4672.9291204099063</v>
      </c>
      <c r="E8" s="106">
        <f>'Facturación_Fisica-Dig'!A27</f>
        <v>0.1171</v>
      </c>
      <c r="F8" s="109">
        <f t="shared" si="1"/>
        <v>547.20000000000005</v>
      </c>
      <c r="H8" s="109">
        <f t="shared" si="2"/>
        <v>547.20000000000005</v>
      </c>
      <c r="I8" s="109">
        <f t="shared" ref="I8:L8" si="5">H8</f>
        <v>547.20000000000005</v>
      </c>
      <c r="J8" s="109">
        <f t="shared" si="5"/>
        <v>547.20000000000005</v>
      </c>
      <c r="K8" s="109">
        <f t="shared" si="5"/>
        <v>547.20000000000005</v>
      </c>
      <c r="L8" s="109">
        <f t="shared" si="5"/>
        <v>547.20000000000005</v>
      </c>
    </row>
    <row r="9" spans="1:12" outlineLevel="1" x14ac:dyDescent="0.3">
      <c r="A9" s="104" t="s">
        <v>116</v>
      </c>
      <c r="B9" s="104">
        <v>7454</v>
      </c>
      <c r="C9" s="129" t="s">
        <v>110</v>
      </c>
      <c r="D9" s="102">
        <f>B13</f>
        <v>8285.2000000000007</v>
      </c>
      <c r="E9" s="106">
        <v>0</v>
      </c>
      <c r="F9" s="109">
        <f t="shared" si="1"/>
        <v>0</v>
      </c>
      <c r="H9" s="109">
        <f t="shared" si="2"/>
        <v>0</v>
      </c>
      <c r="I9" s="109">
        <f t="shared" ref="I9:L9" si="6">H9</f>
        <v>0</v>
      </c>
      <c r="J9" s="109">
        <f t="shared" si="6"/>
        <v>0</v>
      </c>
      <c r="K9" s="109">
        <f t="shared" si="6"/>
        <v>0</v>
      </c>
      <c r="L9" s="109">
        <f t="shared" si="6"/>
        <v>0</v>
      </c>
    </row>
    <row r="10" spans="1:12" outlineLevel="1" x14ac:dyDescent="0.3">
      <c r="C10" s="98" t="s">
        <v>111</v>
      </c>
      <c r="D10" s="103">
        <v>2500</v>
      </c>
      <c r="E10" s="106">
        <v>0</v>
      </c>
      <c r="F10" s="109">
        <f t="shared" si="1"/>
        <v>0</v>
      </c>
      <c r="H10" s="109">
        <f t="shared" si="2"/>
        <v>0</v>
      </c>
      <c r="I10" s="109">
        <f t="shared" ref="I10:L10" si="7">H10</f>
        <v>0</v>
      </c>
      <c r="J10" s="109">
        <f t="shared" si="7"/>
        <v>0</v>
      </c>
      <c r="K10" s="109">
        <f t="shared" si="7"/>
        <v>0</v>
      </c>
      <c r="L10" s="109">
        <f t="shared" si="7"/>
        <v>0</v>
      </c>
    </row>
    <row r="11" spans="1:12" x14ac:dyDescent="0.3">
      <c r="A11" s="126" t="s">
        <v>57</v>
      </c>
      <c r="B11" s="126">
        <f>SUM(B5:B10)</f>
        <v>41426</v>
      </c>
      <c r="C11" s="99" t="s">
        <v>51</v>
      </c>
      <c r="D11" s="104">
        <v>1</v>
      </c>
      <c r="E11" s="107">
        <f>Flujo!AA36</f>
        <v>449</v>
      </c>
      <c r="F11" s="110">
        <f t="shared" si="1"/>
        <v>449</v>
      </c>
      <c r="H11" s="110">
        <f t="shared" si="2"/>
        <v>449</v>
      </c>
      <c r="I11" s="110">
        <f t="shared" ref="I11:L11" si="8">H11</f>
        <v>449</v>
      </c>
      <c r="J11" s="110">
        <f t="shared" si="8"/>
        <v>449</v>
      </c>
      <c r="K11" s="110">
        <f t="shared" si="8"/>
        <v>449</v>
      </c>
      <c r="L11" s="110">
        <f t="shared" si="8"/>
        <v>449</v>
      </c>
    </row>
    <row r="13" spans="1:12" x14ac:dyDescent="0.3">
      <c r="A13" s="100" t="s">
        <v>117</v>
      </c>
      <c r="B13" s="122">
        <f>AVERAGE(B5:B9)</f>
        <v>8285.2000000000007</v>
      </c>
      <c r="C13" s="157" t="s">
        <v>127</v>
      </c>
      <c r="D13" s="158"/>
      <c r="E13" s="159"/>
      <c r="F13" s="112">
        <f>SUM(F5:F12)</f>
        <v>4340.1653200000001</v>
      </c>
      <c r="H13" s="112">
        <f t="shared" ref="H13:L13" si="9">SUM(H5:H12)</f>
        <v>4340.1653200000001</v>
      </c>
      <c r="I13" s="112">
        <f t="shared" si="9"/>
        <v>4340.1653200000001</v>
      </c>
      <c r="J13" s="112">
        <f t="shared" si="9"/>
        <v>4340.1653200000001</v>
      </c>
      <c r="K13" s="112">
        <f t="shared" si="9"/>
        <v>4340.1653200000001</v>
      </c>
      <c r="L13" s="112">
        <f t="shared" si="9"/>
        <v>4340.1653200000001</v>
      </c>
    </row>
    <row r="15" spans="1:12" x14ac:dyDescent="0.3">
      <c r="C15" s="115" t="s">
        <v>129</v>
      </c>
      <c r="D15" s="123">
        <f>D9</f>
        <v>8285.2000000000007</v>
      </c>
      <c r="E15" s="124">
        <v>6.1289999999999997E-2</v>
      </c>
      <c r="F15" s="118">
        <f>D15*E15</f>
        <v>507.79990800000002</v>
      </c>
      <c r="H15" s="118">
        <f>F15</f>
        <v>507.79990800000002</v>
      </c>
      <c r="I15" s="118">
        <f>H15</f>
        <v>507.79990800000002</v>
      </c>
      <c r="J15" s="118">
        <f t="shared" ref="J15:L15" si="10">I15</f>
        <v>507.79990800000002</v>
      </c>
      <c r="K15" s="118">
        <f t="shared" si="10"/>
        <v>507.79990800000002</v>
      </c>
      <c r="L15" s="118">
        <f t="shared" si="10"/>
        <v>507.79990800000002</v>
      </c>
    </row>
    <row r="17" spans="1:12" x14ac:dyDescent="0.3">
      <c r="C17" s="157" t="s">
        <v>128</v>
      </c>
      <c r="D17" s="158"/>
      <c r="E17" s="159"/>
      <c r="F17" s="113">
        <f>F13-F15</f>
        <v>3832.3654120000001</v>
      </c>
      <c r="H17" s="113">
        <f>F17</f>
        <v>3832.3654120000001</v>
      </c>
      <c r="I17" s="113">
        <f>H17</f>
        <v>3832.3654120000001</v>
      </c>
      <c r="J17" s="113">
        <f t="shared" ref="J17:L17" si="11">I17</f>
        <v>3832.3654120000001</v>
      </c>
      <c r="K17" s="113">
        <f t="shared" si="11"/>
        <v>3832.3654120000001</v>
      </c>
      <c r="L17" s="113">
        <f t="shared" si="11"/>
        <v>3832.3654120000001</v>
      </c>
    </row>
    <row r="18" spans="1:12" x14ac:dyDescent="0.3">
      <c r="C18" s="160" t="s">
        <v>133</v>
      </c>
      <c r="D18" s="160"/>
      <c r="E18" s="160"/>
      <c r="F18" s="113">
        <f>Flujo!O40</f>
        <v>3027.92</v>
      </c>
      <c r="H18" s="113">
        <f>F18</f>
        <v>3027.92</v>
      </c>
      <c r="I18" s="113">
        <f>H18</f>
        <v>3027.92</v>
      </c>
      <c r="J18" s="113">
        <f t="shared" ref="J18:L18" si="12">I18</f>
        <v>3027.92</v>
      </c>
      <c r="K18" s="113">
        <f t="shared" si="12"/>
        <v>3027.92</v>
      </c>
      <c r="L18" s="113">
        <f t="shared" si="12"/>
        <v>3027.92</v>
      </c>
    </row>
    <row r="20" spans="1:12" x14ac:dyDescent="0.3">
      <c r="C20" s="160" t="s">
        <v>134</v>
      </c>
      <c r="D20" s="160"/>
      <c r="E20" s="160"/>
      <c r="F20" s="113">
        <f>F17-F18</f>
        <v>804.44541200000003</v>
      </c>
      <c r="H20" s="113">
        <f>F20</f>
        <v>804.44541200000003</v>
      </c>
      <c r="I20" s="113">
        <f>H20</f>
        <v>804.44541200000003</v>
      </c>
      <c r="J20" s="113">
        <f t="shared" ref="J20:L20" si="13">I20</f>
        <v>804.44541200000003</v>
      </c>
      <c r="K20" s="113">
        <f t="shared" si="13"/>
        <v>804.44541200000003</v>
      </c>
      <c r="L20" s="113">
        <f t="shared" si="13"/>
        <v>804.44541200000003</v>
      </c>
    </row>
    <row r="21" spans="1:12" x14ac:dyDescent="0.3">
      <c r="A21" s="125">
        <v>720</v>
      </c>
      <c r="B21" s="125">
        <v>2</v>
      </c>
      <c r="C21" s="115" t="s">
        <v>130</v>
      </c>
      <c r="D21" s="116">
        <f>A21*B21</f>
        <v>1440</v>
      </c>
      <c r="E21" s="117">
        <v>5</v>
      </c>
      <c r="F21" s="118">
        <f>D21/E21</f>
        <v>288</v>
      </c>
      <c r="H21" s="118">
        <f>F21</f>
        <v>288</v>
      </c>
      <c r="I21" s="118">
        <f>H21</f>
        <v>288</v>
      </c>
      <c r="J21" s="118">
        <f t="shared" ref="J21:L21" si="14">I21</f>
        <v>288</v>
      </c>
      <c r="K21" s="118">
        <f t="shared" si="14"/>
        <v>288</v>
      </c>
      <c r="L21" s="118">
        <f t="shared" si="14"/>
        <v>288</v>
      </c>
    </row>
    <row r="23" spans="1:12" x14ac:dyDescent="0.3">
      <c r="C23" s="161" t="s">
        <v>131</v>
      </c>
      <c r="D23" s="161"/>
      <c r="E23" s="161"/>
      <c r="F23" s="119">
        <f>F20-F21</f>
        <v>516.44541200000003</v>
      </c>
      <c r="H23" s="119">
        <f>F23</f>
        <v>516.44541200000003</v>
      </c>
      <c r="I23" s="119">
        <f>H23</f>
        <v>516.44541200000003</v>
      </c>
      <c r="J23" s="119">
        <f t="shared" ref="J23:L23" si="15">I23</f>
        <v>516.44541200000003</v>
      </c>
      <c r="K23" s="119">
        <f t="shared" si="15"/>
        <v>516.44541200000003</v>
      </c>
      <c r="L23" s="119">
        <f t="shared" si="15"/>
        <v>516.44541200000003</v>
      </c>
    </row>
    <row r="25" spans="1:12" x14ac:dyDescent="0.3">
      <c r="C25" s="156" t="s">
        <v>132</v>
      </c>
      <c r="D25" s="156"/>
      <c r="E25" s="120">
        <v>0.3</v>
      </c>
      <c r="F25" s="121">
        <f>F23*E25</f>
        <v>154.9336236</v>
      </c>
      <c r="H25" s="121">
        <f>F25</f>
        <v>154.9336236</v>
      </c>
      <c r="I25" s="121">
        <f>H25</f>
        <v>154.9336236</v>
      </c>
      <c r="J25" s="121">
        <f t="shared" ref="J25:L25" si="16">I25</f>
        <v>154.9336236</v>
      </c>
      <c r="K25" s="121">
        <f t="shared" si="16"/>
        <v>154.9336236</v>
      </c>
      <c r="L25" s="121">
        <f t="shared" si="16"/>
        <v>154.9336236</v>
      </c>
    </row>
  </sheetData>
  <dataConsolidate/>
  <mergeCells count="6">
    <mergeCell ref="C25:D25"/>
    <mergeCell ref="C13:E13"/>
    <mergeCell ref="C17:E17"/>
    <mergeCell ref="C18:E18"/>
    <mergeCell ref="C20:E20"/>
    <mergeCell ref="C23:E2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15B5-F862-45E7-8B75-624F8BA4A8B7}">
  <dimension ref="B4:M18"/>
  <sheetViews>
    <sheetView topLeftCell="A3" workbookViewId="0">
      <selection activeCell="H12" sqref="H12"/>
    </sheetView>
  </sheetViews>
  <sheetFormatPr baseColWidth="10" defaultRowHeight="15" x14ac:dyDescent="0.25"/>
  <cols>
    <col min="3" max="3" width="15" bestFit="1" customWidth="1"/>
    <col min="5" max="5" width="37.28515625" bestFit="1" customWidth="1"/>
    <col min="6" max="6" width="12" bestFit="1" customWidth="1"/>
    <col min="7" max="7" width="14.28515625" bestFit="1" customWidth="1"/>
    <col min="8" max="8" width="13.7109375" bestFit="1" customWidth="1"/>
    <col min="11" max="11" width="12.140625" bestFit="1" customWidth="1"/>
    <col min="13" max="13" width="12.140625" bestFit="1" customWidth="1"/>
  </cols>
  <sheetData>
    <row r="4" spans="2:13" x14ac:dyDescent="0.25">
      <c r="B4" s="130" t="s">
        <v>125</v>
      </c>
      <c r="C4" s="130" t="s">
        <v>126</v>
      </c>
      <c r="E4" s="130" t="s">
        <v>58</v>
      </c>
      <c r="F4" s="130" t="s">
        <v>105</v>
      </c>
      <c r="G4" s="140" t="s">
        <v>106</v>
      </c>
      <c r="H4" s="130" t="s">
        <v>107</v>
      </c>
    </row>
    <row r="5" spans="2:13" ht="16.5" x14ac:dyDescent="0.3">
      <c r="B5" s="103" t="s">
        <v>112</v>
      </c>
      <c r="C5" s="103">
        <v>9596</v>
      </c>
      <c r="E5" s="131" t="s">
        <v>108</v>
      </c>
      <c r="F5" s="134">
        <v>7223</v>
      </c>
      <c r="G5" s="105">
        <f>Scanner_CN!E5</f>
        <v>0.28079999999999999</v>
      </c>
      <c r="H5" s="137">
        <f>F5*G5</f>
        <v>2028.2184</v>
      </c>
      <c r="J5" s="147">
        <v>250</v>
      </c>
      <c r="K5" s="147">
        <f>(H5+H6+H7+H8)+(J5/2)</f>
        <v>3300.4183999999996</v>
      </c>
      <c r="L5" s="147">
        <f>K5*12%</f>
        <v>396.05020799999994</v>
      </c>
      <c r="M5" s="147">
        <f>K5+L5</f>
        <v>3696.4686079999997</v>
      </c>
    </row>
    <row r="6" spans="2:13" ht="16.5" x14ac:dyDescent="0.3">
      <c r="B6" s="103" t="s">
        <v>113</v>
      </c>
      <c r="C6" s="103">
        <v>10000</v>
      </c>
      <c r="E6" s="132" t="s">
        <v>109</v>
      </c>
      <c r="F6" s="135">
        <f>Flujo!P34</f>
        <v>2500</v>
      </c>
      <c r="G6" s="106">
        <f>Scanner_CN!E6</f>
        <v>0.24</v>
      </c>
      <c r="H6" s="138">
        <f t="shared" ref="H6:H8" si="0">F6*G6</f>
        <v>600</v>
      </c>
    </row>
    <row r="7" spans="2:13" ht="16.5" x14ac:dyDescent="0.3">
      <c r="B7" s="103" t="s">
        <v>114</v>
      </c>
      <c r="C7" s="103">
        <v>7738</v>
      </c>
      <c r="E7" s="132" t="s">
        <v>111</v>
      </c>
      <c r="F7" s="135">
        <f>Flujo!P34</f>
        <v>2500</v>
      </c>
      <c r="G7" s="106">
        <f>Scanner_CN!E7</f>
        <v>0.1171</v>
      </c>
      <c r="H7" s="138">
        <f t="shared" si="0"/>
        <v>292.75</v>
      </c>
    </row>
    <row r="8" spans="2:13" ht="16.5" x14ac:dyDescent="0.3">
      <c r="B8" s="103" t="s">
        <v>115</v>
      </c>
      <c r="C8" s="103">
        <v>6638</v>
      </c>
      <c r="E8" s="133" t="s">
        <v>118</v>
      </c>
      <c r="F8" s="135">
        <f>B16-F7</f>
        <v>2172.9291204099063</v>
      </c>
      <c r="G8" s="106">
        <f>Scanner_CN!E8</f>
        <v>0.1171</v>
      </c>
      <c r="H8" s="138">
        <f t="shared" si="0"/>
        <v>254.45000000000002</v>
      </c>
      <c r="J8" s="147">
        <f>(F7+F8)*G8</f>
        <v>547.20000000000005</v>
      </c>
    </row>
    <row r="9" spans="2:13" ht="16.5" x14ac:dyDescent="0.3">
      <c r="B9" s="104" t="s">
        <v>116</v>
      </c>
      <c r="C9" s="104">
        <v>7454</v>
      </c>
      <c r="E9" s="99" t="s">
        <v>51</v>
      </c>
      <c r="F9" s="136">
        <v>1</v>
      </c>
      <c r="G9" s="142">
        <f>Scanner_CN!E11</f>
        <v>449</v>
      </c>
      <c r="H9" s="139">
        <f t="shared" ref="H9" si="1">F9*G9</f>
        <v>449</v>
      </c>
      <c r="J9" s="147">
        <f>H9*12%</f>
        <v>53.879999999999995</v>
      </c>
    </row>
    <row r="10" spans="2:13" ht="16.5" x14ac:dyDescent="0.3">
      <c r="B10" s="96"/>
      <c r="C10" s="96"/>
      <c r="E10" s="143"/>
      <c r="F10" s="144"/>
      <c r="G10" s="141"/>
      <c r="H10" s="145"/>
      <c r="J10" s="147">
        <f>449+J9</f>
        <v>502.88</v>
      </c>
    </row>
    <row r="11" spans="2:13" ht="16.5" x14ac:dyDescent="0.3">
      <c r="B11" s="126" t="s">
        <v>57</v>
      </c>
      <c r="C11" s="126">
        <f>SUM(C5:C10)</f>
        <v>41426</v>
      </c>
      <c r="E11" s="146"/>
      <c r="F11" s="144"/>
      <c r="G11" s="141"/>
      <c r="H11" s="145"/>
    </row>
    <row r="12" spans="2:13" ht="16.5" x14ac:dyDescent="0.3">
      <c r="B12" s="96"/>
      <c r="C12" s="96"/>
      <c r="E12" s="157" t="s">
        <v>127</v>
      </c>
      <c r="F12" s="158"/>
      <c r="G12" s="159"/>
      <c r="H12" s="112">
        <f ca="1">SUM(H5:H12)</f>
        <v>3624.4183999999996</v>
      </c>
      <c r="I12" s="149"/>
      <c r="J12" s="147"/>
    </row>
    <row r="13" spans="2:13" x14ac:dyDescent="0.25">
      <c r="B13" s="130" t="s">
        <v>117</v>
      </c>
      <c r="C13" s="122">
        <f>AVERAGE(C5:C9)</f>
        <v>8285.2000000000007</v>
      </c>
    </row>
    <row r="14" spans="2:13" x14ac:dyDescent="0.25">
      <c r="H14" s="150"/>
    </row>
    <row r="15" spans="2:13" ht="15" customHeight="1" x14ac:dyDescent="0.25">
      <c r="B15" s="157" t="s">
        <v>135</v>
      </c>
      <c r="C15" s="159"/>
      <c r="H15" s="147"/>
    </row>
    <row r="16" spans="2:13" x14ac:dyDescent="0.25">
      <c r="B16" s="162">
        <f>Flujo!O31</f>
        <v>4672.9291204099063</v>
      </c>
      <c r="C16" s="159"/>
      <c r="H16" s="147"/>
    </row>
    <row r="18" spans="3:4" x14ac:dyDescent="0.25">
      <c r="C18" s="30">
        <f>C13-F8</f>
        <v>6112.2708795900944</v>
      </c>
      <c r="D18" s="147">
        <f>C18*G7</f>
        <v>715.74692000000005</v>
      </c>
    </row>
  </sheetData>
  <mergeCells count="3">
    <mergeCell ref="E12:G12"/>
    <mergeCell ref="B15:C15"/>
    <mergeCell ref="B16:C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Flujo</vt:lpstr>
      <vt:lpstr>Valorización</vt:lpstr>
      <vt:lpstr>Facturación_Fisica-Dig</vt:lpstr>
      <vt:lpstr>Scanner_CN</vt:lpstr>
      <vt:lpstr>Valores Finales a Facturar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Jazmin Torres</cp:lastModifiedBy>
  <dcterms:created xsi:type="dcterms:W3CDTF">2019-04-09T12:51:15Z</dcterms:created>
  <dcterms:modified xsi:type="dcterms:W3CDTF">2021-01-11T19:09:41Z</dcterms:modified>
</cp:coreProperties>
</file>