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osevortega/Dropbox/Documents/Data Solutions/Comercial/Ecuasistencia/"/>
    </mc:Choice>
  </mc:AlternateContent>
  <xr:revisionPtr revIDLastSave="0" documentId="8_{B264762F-5822-B44C-B486-5B54CF50A062}" xr6:coauthVersionLast="36" xr6:coauthVersionMax="36" xr10:uidLastSave="{00000000-0000-0000-0000-000000000000}"/>
  <bookViews>
    <workbookView xWindow="0" yWindow="460" windowWidth="20740" windowHeight="11320" xr2:uid="{DEFCA03D-C2C4-4364-B809-D63C08C67EFB}"/>
  </bookViews>
  <sheets>
    <sheet name="Flujo de Pagos_1Y (2)" sheetId="2" r:id="rId1"/>
    <sheet name="Flujo de Pagos_1Y" sheetId="1" r:id="rId2"/>
    <sheet name="facturacion" sheetId="3" r:id="rId3"/>
  </sheets>
  <externalReferences>
    <externalReference r:id="rId4"/>
  </externalReferenc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2" l="1"/>
  <c r="I28" i="2"/>
  <c r="I26" i="2"/>
  <c r="I25" i="2"/>
  <c r="I16" i="2"/>
  <c r="I42" i="1"/>
  <c r="I41" i="1"/>
  <c r="I26" i="1"/>
  <c r="I19" i="1"/>
  <c r="F19" i="3" l="1"/>
  <c r="F20" i="3"/>
  <c r="F21" i="3"/>
  <c r="F22" i="3"/>
  <c r="F18" i="3"/>
  <c r="F7" i="3"/>
  <c r="F6" i="3"/>
  <c r="F24" i="3" l="1"/>
  <c r="F25" i="3" s="1"/>
  <c r="F26" i="3" s="1"/>
  <c r="F9" i="3"/>
  <c r="T40" i="2"/>
  <c r="S40" i="2"/>
  <c r="R40" i="2"/>
  <c r="Q40" i="2"/>
  <c r="P40" i="2"/>
  <c r="O40" i="2"/>
  <c r="N40" i="2"/>
  <c r="L40" i="2"/>
  <c r="K40" i="2"/>
  <c r="J40" i="2"/>
  <c r="I40" i="2"/>
  <c r="J23" i="2"/>
  <c r="K23" i="2" s="1"/>
  <c r="W43" i="2"/>
  <c r="V18" i="2"/>
  <c r="I34" i="2"/>
  <c r="I15" i="2"/>
  <c r="E33" i="2"/>
  <c r="E31" i="2"/>
  <c r="I24" i="2"/>
  <c r="D24" i="2"/>
  <c r="D39" i="2" s="1"/>
  <c r="D17" i="2"/>
  <c r="C16" i="2"/>
  <c r="E16" i="2" s="1"/>
  <c r="E15" i="2"/>
  <c r="C15" i="2"/>
  <c r="E6" i="2"/>
  <c r="G6" i="2" s="1"/>
  <c r="D6" i="2"/>
  <c r="F6" i="2" s="1"/>
  <c r="G5" i="2"/>
  <c r="H5" i="2" s="1"/>
  <c r="C39" i="2"/>
  <c r="F10" i="3" l="1"/>
  <c r="F11" i="3" s="1"/>
  <c r="G14" i="3"/>
  <c r="E39" i="2"/>
  <c r="K24" i="2"/>
  <c r="K28" i="2" s="1"/>
  <c r="H6" i="2"/>
  <c r="H8" i="2" s="1"/>
  <c r="J24" i="2"/>
  <c r="J28" i="2" s="1"/>
  <c r="E34" i="2"/>
  <c r="E35" i="2" s="1"/>
  <c r="C24" i="2"/>
  <c r="E24" i="2" s="1"/>
  <c r="E31" i="1"/>
  <c r="E33" i="1" s="1"/>
  <c r="I24" i="1"/>
  <c r="D24" i="1"/>
  <c r="D39" i="1" s="1"/>
  <c r="K23" i="1"/>
  <c r="K24" i="1" s="1"/>
  <c r="J23" i="1"/>
  <c r="J24" i="1" s="1"/>
  <c r="D17" i="1"/>
  <c r="C16" i="1"/>
  <c r="E16" i="1" s="1"/>
  <c r="C15" i="1"/>
  <c r="E15" i="1" s="1"/>
  <c r="F6" i="1"/>
  <c r="E6" i="1"/>
  <c r="G6" i="1" s="1"/>
  <c r="D6" i="1"/>
  <c r="G5" i="1"/>
  <c r="H5" i="1" s="1"/>
  <c r="C39" i="1"/>
  <c r="J34" i="2" l="1"/>
  <c r="L24" i="2"/>
  <c r="L28" i="2" s="1"/>
  <c r="H11" i="2"/>
  <c r="C17" i="2"/>
  <c r="E17" i="2" s="1"/>
  <c r="E19" i="2" s="1"/>
  <c r="E26" i="2"/>
  <c r="J16" i="2"/>
  <c r="K16" i="2" s="1"/>
  <c r="L16" i="2" s="1"/>
  <c r="M16" i="2" s="1"/>
  <c r="N16" i="2" s="1"/>
  <c r="O16" i="2" s="1"/>
  <c r="P16" i="2" s="1"/>
  <c r="Q16" i="2" s="1"/>
  <c r="R16" i="2" s="1"/>
  <c r="S16" i="2" s="1"/>
  <c r="T16" i="2" s="1"/>
  <c r="E41" i="2"/>
  <c r="E39" i="1"/>
  <c r="H6" i="1"/>
  <c r="H8" i="1" s="1"/>
  <c r="E34" i="1"/>
  <c r="E35" i="1" s="1"/>
  <c r="L23" i="1"/>
  <c r="I34" i="1"/>
  <c r="C24" i="1"/>
  <c r="E24" i="1" s="1"/>
  <c r="M24" i="2" l="1"/>
  <c r="M28" i="2" s="1"/>
  <c r="J15" i="2"/>
  <c r="I18" i="2"/>
  <c r="M25" i="2"/>
  <c r="T25" i="2"/>
  <c r="L25" i="2"/>
  <c r="J25" i="2"/>
  <c r="S25" i="2"/>
  <c r="K25" i="2"/>
  <c r="E20" i="2"/>
  <c r="E21" i="2" s="1"/>
  <c r="R25" i="2"/>
  <c r="Q25" i="2"/>
  <c r="O25" i="2"/>
  <c r="P25" i="2"/>
  <c r="N25" i="2"/>
  <c r="E28" i="2"/>
  <c r="E27" i="2"/>
  <c r="K34" i="2"/>
  <c r="H11" i="1"/>
  <c r="C17" i="1"/>
  <c r="E17" i="1" s="1"/>
  <c r="E19" i="1" s="1"/>
  <c r="E26" i="1"/>
  <c r="I16" i="1"/>
  <c r="J16" i="1" s="1"/>
  <c r="K16" i="1" s="1"/>
  <c r="L16" i="1" s="1"/>
  <c r="M16" i="1" s="1"/>
  <c r="N16" i="1" s="1"/>
  <c r="O16" i="1" s="1"/>
  <c r="P16" i="1" s="1"/>
  <c r="Q16" i="1" s="1"/>
  <c r="R16" i="1" s="1"/>
  <c r="S16" i="1" s="1"/>
  <c r="T16" i="1" s="1"/>
  <c r="U16" i="1" s="1"/>
  <c r="J34" i="1"/>
  <c r="M23" i="1"/>
  <c r="L24" i="1"/>
  <c r="E41" i="1"/>
  <c r="I15" i="1"/>
  <c r="J30" i="2" l="1"/>
  <c r="K15" i="2"/>
  <c r="J18" i="2"/>
  <c r="J26" i="2"/>
  <c r="J32" i="2" s="1"/>
  <c r="J36" i="2" s="1"/>
  <c r="L34" i="2"/>
  <c r="I32" i="2"/>
  <c r="I36" i="2" s="1"/>
  <c r="N24" i="2"/>
  <c r="N28" i="2" s="1"/>
  <c r="N23" i="1"/>
  <c r="M24" i="1"/>
  <c r="E27" i="1"/>
  <c r="E28" i="1" s="1"/>
  <c r="K34" i="1"/>
  <c r="M25" i="1"/>
  <c r="T25" i="1"/>
  <c r="L25" i="1"/>
  <c r="S25" i="1"/>
  <c r="K25" i="1"/>
  <c r="E20" i="1"/>
  <c r="E21" i="1" s="1"/>
  <c r="R25" i="1"/>
  <c r="J25" i="1"/>
  <c r="Q25" i="1"/>
  <c r="I25" i="1"/>
  <c r="P25" i="1"/>
  <c r="O25" i="1"/>
  <c r="N25" i="1"/>
  <c r="I18" i="1"/>
  <c r="I30" i="1"/>
  <c r="J15" i="1"/>
  <c r="M34" i="2" l="1"/>
  <c r="O24" i="2"/>
  <c r="O28" i="2" s="1"/>
  <c r="K30" i="2"/>
  <c r="L15" i="2"/>
  <c r="K18" i="2"/>
  <c r="K26" i="2" s="1"/>
  <c r="K32" i="2" s="1"/>
  <c r="K36" i="2" s="1"/>
  <c r="J18" i="1"/>
  <c r="J30" i="1"/>
  <c r="K15" i="1"/>
  <c r="L34" i="1"/>
  <c r="J26" i="1"/>
  <c r="J28" i="1" s="1"/>
  <c r="J32" i="1" s="1"/>
  <c r="J36" i="1" s="1"/>
  <c r="I28" i="1"/>
  <c r="I32" i="1" s="1"/>
  <c r="I36" i="1" s="1"/>
  <c r="O23" i="1"/>
  <c r="N24" i="1"/>
  <c r="P24" i="2" l="1"/>
  <c r="P28" i="2" s="1"/>
  <c r="M15" i="2"/>
  <c r="L18" i="2"/>
  <c r="L26" i="2" s="1"/>
  <c r="L32" i="2" s="1"/>
  <c r="L36" i="2" s="1"/>
  <c r="L30" i="2"/>
  <c r="N34" i="2"/>
  <c r="P23" i="1"/>
  <c r="O24" i="1"/>
  <c r="K30" i="1"/>
  <c r="L15" i="1"/>
  <c r="K18" i="1"/>
  <c r="K26" i="1" s="1"/>
  <c r="K28" i="1" s="1"/>
  <c r="K32" i="1" s="1"/>
  <c r="K36" i="1" s="1"/>
  <c r="M34" i="1"/>
  <c r="O34" i="2" l="1"/>
  <c r="Q24" i="2"/>
  <c r="Q28" i="2" s="1"/>
  <c r="N15" i="2"/>
  <c r="M18" i="2"/>
  <c r="M26" i="2" s="1"/>
  <c r="M32" i="2" s="1"/>
  <c r="M36" i="2" s="1"/>
  <c r="M40" i="2" s="1"/>
  <c r="M30" i="2"/>
  <c r="N34" i="1"/>
  <c r="L30" i="1"/>
  <c r="M15" i="1"/>
  <c r="L18" i="1"/>
  <c r="L26" i="1" s="1"/>
  <c r="L28" i="1" s="1"/>
  <c r="L32" i="1" s="1"/>
  <c r="L36" i="1" s="1"/>
  <c r="Q23" i="1"/>
  <c r="P24" i="1"/>
  <c r="O15" i="2" l="1"/>
  <c r="N18" i="2"/>
  <c r="N26" i="2" s="1"/>
  <c r="N30" i="2"/>
  <c r="R24" i="2"/>
  <c r="R28" i="2" s="1"/>
  <c r="P34" i="2"/>
  <c r="R23" i="1"/>
  <c r="Q24" i="1"/>
  <c r="N15" i="1"/>
  <c r="M18" i="1"/>
  <c r="M26" i="1" s="1"/>
  <c r="M28" i="1" s="1"/>
  <c r="M32" i="1" s="1"/>
  <c r="M36" i="1" s="1"/>
  <c r="M30" i="1"/>
  <c r="O34" i="1"/>
  <c r="N32" i="2" l="1"/>
  <c r="N36" i="2" s="1"/>
  <c r="Q34" i="2"/>
  <c r="S24" i="2"/>
  <c r="S28" i="2" s="1"/>
  <c r="O18" i="2"/>
  <c r="O26" i="2" s="1"/>
  <c r="O32" i="2" s="1"/>
  <c r="O36" i="2" s="1"/>
  <c r="O30" i="2"/>
  <c r="P15" i="2"/>
  <c r="P34" i="1"/>
  <c r="O15" i="1"/>
  <c r="N18" i="1"/>
  <c r="N26" i="1" s="1"/>
  <c r="N28" i="1" s="1"/>
  <c r="N30" i="1"/>
  <c r="R24" i="1"/>
  <c r="S23" i="1"/>
  <c r="P18" i="2" l="1"/>
  <c r="P26" i="2" s="1"/>
  <c r="P30" i="2"/>
  <c r="Q15" i="2"/>
  <c r="T24" i="2"/>
  <c r="R34" i="2"/>
  <c r="P15" i="1"/>
  <c r="O18" i="1"/>
  <c r="O26" i="1" s="1"/>
  <c r="O28" i="1" s="1"/>
  <c r="O32" i="1" s="1"/>
  <c r="O36" i="1" s="1"/>
  <c r="O30" i="1"/>
  <c r="T23" i="1"/>
  <c r="S24" i="1"/>
  <c r="N32" i="1"/>
  <c r="N36" i="1" s="1"/>
  <c r="Q34" i="1"/>
  <c r="T28" i="2" l="1"/>
  <c r="W44" i="2"/>
  <c r="W45" i="2" s="1"/>
  <c r="W46" i="2" s="1"/>
  <c r="Q30" i="2"/>
  <c r="R15" i="2"/>
  <c r="Q18" i="2"/>
  <c r="Q26" i="2" s="1"/>
  <c r="S34" i="2"/>
  <c r="P32" i="2"/>
  <c r="P36" i="2" s="1"/>
  <c r="P18" i="1"/>
  <c r="P26" i="1" s="1"/>
  <c r="P28" i="1" s="1"/>
  <c r="P30" i="1"/>
  <c r="Q15" i="1"/>
  <c r="U23" i="1"/>
  <c r="T24" i="1"/>
  <c r="R34" i="1"/>
  <c r="Q32" i="2" l="1"/>
  <c r="Q36" i="2" s="1"/>
  <c r="T34" i="2"/>
  <c r="R30" i="2"/>
  <c r="R18" i="2"/>
  <c r="R26" i="2" s="1"/>
  <c r="S15" i="2"/>
  <c r="S34" i="1"/>
  <c r="Q18" i="1"/>
  <c r="Q26" i="1" s="1"/>
  <c r="Q28" i="1" s="1"/>
  <c r="Q30" i="1"/>
  <c r="R15" i="1"/>
  <c r="U24" i="1"/>
  <c r="P32" i="1"/>
  <c r="P36" i="1" s="1"/>
  <c r="S30" i="2" l="1"/>
  <c r="T15" i="2"/>
  <c r="S18" i="2"/>
  <c r="S26" i="2" s="1"/>
  <c r="R32" i="2"/>
  <c r="R36" i="2" s="1"/>
  <c r="R30" i="1"/>
  <c r="R18" i="1"/>
  <c r="R26" i="1" s="1"/>
  <c r="R28" i="1" s="1"/>
  <c r="R32" i="1" s="1"/>
  <c r="R36" i="1" s="1"/>
  <c r="S15" i="1"/>
  <c r="Q32" i="1"/>
  <c r="Q36" i="1" s="1"/>
  <c r="T34" i="1"/>
  <c r="S32" i="2" l="1"/>
  <c r="S36" i="2" s="1"/>
  <c r="T18" i="2"/>
  <c r="T26" i="2" s="1"/>
  <c r="T30" i="2"/>
  <c r="U34" i="1"/>
  <c r="S30" i="1"/>
  <c r="T15" i="1"/>
  <c r="S18" i="1"/>
  <c r="S26" i="1" s="1"/>
  <c r="S28" i="1" s="1"/>
  <c r="S32" i="1" s="1"/>
  <c r="S36" i="1" s="1"/>
  <c r="T32" i="2" l="1"/>
  <c r="T36" i="2" s="1"/>
  <c r="V36" i="2" s="1"/>
  <c r="V26" i="2"/>
  <c r="T30" i="1"/>
  <c r="U15" i="1"/>
  <c r="T18" i="1"/>
  <c r="T26" i="1" s="1"/>
  <c r="T28" i="1" s="1"/>
  <c r="T32" i="1" s="1"/>
  <c r="T36" i="1" s="1"/>
  <c r="W26" i="2" l="1"/>
  <c r="W47" i="2"/>
  <c r="W48" i="2" s="1"/>
  <c r="W36" i="2" s="1"/>
  <c r="U18" i="1"/>
  <c r="U26" i="1" s="1"/>
  <c r="U28" i="1" s="1"/>
  <c r="U30" i="1"/>
  <c r="U32" i="1" l="1"/>
  <c r="U36" i="1" s="1"/>
</calcChain>
</file>

<file path=xl/sharedStrings.xml><?xml version="1.0" encoding="utf-8"?>
<sst xmlns="http://schemas.openxmlformats.org/spreadsheetml/2006/main" count="205" uniqueCount="68">
  <si>
    <t>PRESUPUESTO Y FUJO MAPFRE ATLAS -  ECUASISTENCIA</t>
  </si>
  <si>
    <t xml:space="preserve">Descripción </t>
  </si>
  <si>
    <t>Cantidad de Cajas</t>
  </si>
  <si>
    <t>Files por Caja</t>
  </si>
  <si>
    <t>Porcentaje por File</t>
  </si>
  <si>
    <t>Total Files</t>
  </si>
  <si>
    <t>Leithz</t>
  </si>
  <si>
    <t>Manila</t>
  </si>
  <si>
    <t>Cajas Ecuasistencia</t>
  </si>
  <si>
    <t>Total de Files</t>
  </si>
  <si>
    <t>Registro File</t>
  </si>
  <si>
    <t>TOTAL</t>
  </si>
  <si>
    <t>INVERSIÓN INICIAL</t>
  </si>
  <si>
    <t>ECUASISTENCIA</t>
  </si>
  <si>
    <t>Descripción</t>
  </si>
  <si>
    <t>Cantidad</t>
  </si>
  <si>
    <t>Precio Unitario</t>
  </si>
  <si>
    <t xml:space="preserve">Total </t>
  </si>
  <si>
    <t>DESCRIPCIÓN</t>
  </si>
  <si>
    <t>Agosto</t>
  </si>
  <si>
    <t>Septiembre</t>
  </si>
  <si>
    <t>Octubre</t>
  </si>
  <si>
    <t>Noviembre</t>
  </si>
  <si>
    <t>Diciembre</t>
  </si>
  <si>
    <t xml:space="preserve">Enero </t>
  </si>
  <si>
    <t>Febrero</t>
  </si>
  <si>
    <t>Marzo</t>
  </si>
  <si>
    <t>Abril</t>
  </si>
  <si>
    <t>Mayo</t>
  </si>
  <si>
    <t>Junio</t>
  </si>
  <si>
    <t>Julio</t>
  </si>
  <si>
    <t>Kit de Almacenamiento</t>
  </si>
  <si>
    <t>Canon Mensual 1961 Cajas</t>
  </si>
  <si>
    <t>Ordenamiento Caja</t>
  </si>
  <si>
    <t>Canon Mensual 1257 Cajas</t>
  </si>
  <si>
    <t>Indexación File 2014 - 2018</t>
  </si>
  <si>
    <t>DIFERENCIA MENSUAL</t>
  </si>
  <si>
    <t>SUBTOTAL</t>
  </si>
  <si>
    <t>IVA</t>
  </si>
  <si>
    <t>MAPFRE ATLAS</t>
  </si>
  <si>
    <t>VALOR EN DESCENSO</t>
  </si>
  <si>
    <t>Custodia Ecuasistencia</t>
  </si>
  <si>
    <t>CUSTODIA MENSUAL ACTUAL</t>
  </si>
  <si>
    <t>INVERSIÓN INICIAL ECUASIST.</t>
  </si>
  <si>
    <t>TOTAL MAPFRE ATLAS MES</t>
  </si>
  <si>
    <t>TOTAL ECUASISTENCIA MES</t>
  </si>
  <si>
    <t>Custodia Mapfre - DATA</t>
  </si>
  <si>
    <t>VALOR TOTAL GRUPO MES</t>
  </si>
  <si>
    <t>VALOR ACTUAL GRUPO MES</t>
  </si>
  <si>
    <t>VALOR EN CONTRA / A FAVOR</t>
  </si>
  <si>
    <t>DIFERENCIA DE PAGO ENTRE LO ACTUAL Y LO NUEVO</t>
  </si>
  <si>
    <t>Valor actual Mapfre</t>
  </si>
  <si>
    <t>Nuevo valor Mapfre</t>
  </si>
  <si>
    <t>Diferencia</t>
  </si>
  <si>
    <t>por un año</t>
  </si>
  <si>
    <t>menos valor de inv. Por cambio Ecua</t>
  </si>
  <si>
    <t>Valor de ahorro en Mapfre</t>
  </si>
  <si>
    <t>Valor ahorro mensual Mapfre</t>
  </si>
  <si>
    <t>Valor que compensa inv. Ecua mensual</t>
  </si>
  <si>
    <t>SEPTIEMBRE</t>
  </si>
  <si>
    <t>VALOR UNITARIO</t>
  </si>
  <si>
    <t>CANTIDAD</t>
  </si>
  <si>
    <t>Custodia Física</t>
  </si>
  <si>
    <t>Digitalización</t>
  </si>
  <si>
    <t>MAPFRE</t>
  </si>
  <si>
    <t xml:space="preserve">ECUASISTENCIA </t>
  </si>
  <si>
    <t>Indexación File</t>
  </si>
  <si>
    <t>Traslado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</si>
</sst>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[$$-409]* #,##0.00_ ;_-[$$-409]* \-#,##0.00\ ;_-[$$-409]* &quot;-&quot;??_ ;_-@_ "/>
    <numFmt numFmtId="165" formatCode="_-[$$-409]* #,##0.0000_ ;_-[$$-409]* \-#,##0.0000\ ;_-[$$-409]* &quot;-&quot;??_ ;_-@_ "/>
    <numFmt numFmtId="166" formatCode="_([$$-409]* #,##0.00_);_([$$-409]* \(#,##0.00\);_([$$-409]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6" tint="-0.499984740745262"/>
        <bgColor theme="6" tint="-0.49998474074526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rgb="FFC00000"/>
        <bgColor theme="6" tint="-0.499984740745262"/>
      </patternFill>
    </fill>
    <fill>
      <patternFill patternType="solid">
        <fgColor theme="5" tint="0.59999389629810485"/>
        <bgColor theme="6" tint="0.59999389629810485"/>
      </patternFill>
    </fill>
    <fill>
      <patternFill patternType="solid">
        <fgColor theme="6" tint="-0.499984740745262"/>
        <bgColor theme="6" tint="0.59999389629810485"/>
      </patternFill>
    </fill>
    <fill>
      <patternFill patternType="solid">
        <fgColor rgb="FFC00000"/>
        <bgColor theme="6" tint="0.59999389629810485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22">
    <border>
      <left/>
      <right/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6" tint="0.79998168889431442"/>
      </bottom>
      <diagonal/>
    </border>
    <border>
      <left style="thin">
        <color theme="0"/>
      </left>
      <right/>
      <top/>
      <bottom style="thin">
        <color theme="6" tint="0.79998168889431442"/>
      </bottom>
      <diagonal/>
    </border>
    <border>
      <left style="thin">
        <color theme="0"/>
      </left>
      <right/>
      <top style="thin">
        <color theme="6" tint="0.79998168889431442"/>
      </top>
      <bottom style="thin">
        <color theme="6" tint="0.79998168889431442"/>
      </bottom>
      <diagonal/>
    </border>
    <border>
      <left/>
      <right style="thin">
        <color theme="0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6" tint="0.79998168889431442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6" tint="0.79998168889431442"/>
      </top>
      <bottom style="thin">
        <color theme="6" tint="0.79998168889431442"/>
      </bottom>
      <diagonal/>
    </border>
    <border>
      <left/>
      <right style="thin">
        <color theme="0"/>
      </right>
      <top style="thin">
        <color theme="6" tint="0.79998168889431442"/>
      </top>
      <bottom style="thin">
        <color theme="6" tint="0.79998168889431442"/>
      </bottom>
      <diagonal/>
    </border>
    <border>
      <left/>
      <right/>
      <top style="thin">
        <color theme="6" tint="0.79998168889431442"/>
      </top>
      <bottom style="thin">
        <color theme="6" tint="0.79998168889431442"/>
      </bottom>
      <diagonal/>
    </border>
    <border>
      <left/>
      <right/>
      <top style="thin">
        <color theme="0"/>
      </top>
      <bottom style="thin">
        <color theme="6" tint="0.79998168889431442"/>
      </bottom>
      <diagonal/>
    </border>
    <border>
      <left style="thin">
        <color theme="0"/>
      </left>
      <right/>
      <top style="thin">
        <color theme="0"/>
      </top>
      <bottom style="thin">
        <color theme="6" tint="0.7999816888943144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9">
    <xf numFmtId="0" fontId="0" fillId="0" borderId="0" xfId="0"/>
    <xf numFmtId="0" fontId="2" fillId="2" borderId="7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9" fontId="2" fillId="2" borderId="4" xfId="1" applyFont="1" applyFill="1" applyBorder="1" applyAlignment="1">
      <alignment horizontal="center" vertical="center"/>
    </xf>
    <xf numFmtId="0" fontId="0" fillId="3" borderId="10" xfId="0" applyFill="1" applyBorder="1" applyAlignment="1">
      <alignment horizontal="left"/>
    </xf>
    <xf numFmtId="0" fontId="0" fillId="3" borderId="11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1" fontId="0" fillId="3" borderId="10" xfId="0" applyNumberFormat="1" applyFill="1" applyBorder="1" applyAlignment="1">
      <alignment horizontal="center" vertical="center"/>
    </xf>
    <xf numFmtId="1" fontId="0" fillId="3" borderId="12" xfId="0" applyNumberFormat="1" applyFill="1" applyBorder="1" applyAlignment="1">
      <alignment horizontal="center" vertical="center"/>
    </xf>
    <xf numFmtId="0" fontId="0" fillId="0" borderId="13" xfId="0" applyBorder="1"/>
    <xf numFmtId="0" fontId="2" fillId="2" borderId="6" xfId="0" applyFont="1" applyFill="1" applyBorder="1" applyAlignment="1">
      <alignment horizontal="center" vertical="center"/>
    </xf>
    <xf numFmtId="1" fontId="2" fillId="2" borderId="4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4" fontId="2" fillId="2" borderId="4" xfId="0" applyNumberFormat="1" applyFont="1" applyFill="1" applyBorder="1"/>
    <xf numFmtId="0" fontId="0" fillId="0" borderId="2" xfId="0" applyBorder="1" applyAlignment="1">
      <alignment horizontal="center" vertical="center"/>
    </xf>
    <xf numFmtId="0" fontId="0" fillId="0" borderId="2" xfId="0" applyBorder="1"/>
    <xf numFmtId="0" fontId="2" fillId="2" borderId="2" xfId="0" applyFont="1" applyFill="1" applyBorder="1" applyAlignment="1">
      <alignment horizontal="center" vertical="center"/>
    </xf>
    <xf numFmtId="164" fontId="2" fillId="2" borderId="1" xfId="0" applyNumberFormat="1" applyFont="1" applyFill="1" applyBorder="1"/>
    <xf numFmtId="0" fontId="2" fillId="2" borderId="8" xfId="0" applyFont="1" applyFill="1" applyBorder="1" applyAlignment="1">
      <alignment horizontal="center" vertical="center"/>
    </xf>
    <xf numFmtId="164" fontId="0" fillId="3" borderId="14" xfId="0" applyNumberFormat="1" applyFill="1" applyBorder="1" applyAlignment="1">
      <alignment horizontal="left"/>
    </xf>
    <xf numFmtId="164" fontId="0" fillId="3" borderId="11" xfId="0" applyNumberFormat="1" applyFill="1" applyBorder="1" applyAlignment="1">
      <alignment horizontal="center" vertical="center"/>
    </xf>
    <xf numFmtId="164" fontId="0" fillId="3" borderId="16" xfId="0" applyNumberFormat="1" applyFill="1" applyBorder="1" applyAlignment="1">
      <alignment horizontal="center" vertical="center"/>
    </xf>
    <xf numFmtId="0" fontId="0" fillId="3" borderId="16" xfId="0" applyFill="1" applyBorder="1" applyAlignment="1">
      <alignment horizontal="left"/>
    </xf>
    <xf numFmtId="1" fontId="0" fillId="3" borderId="17" xfId="0" applyNumberFormat="1" applyFill="1" applyBorder="1" applyAlignment="1">
      <alignment horizontal="center" vertical="center"/>
    </xf>
    <xf numFmtId="164" fontId="0" fillId="3" borderId="18" xfId="0" applyNumberFormat="1" applyFill="1" applyBorder="1" applyAlignment="1">
      <alignment horizontal="left"/>
    </xf>
    <xf numFmtId="1" fontId="0" fillId="3" borderId="16" xfId="0" applyNumberFormat="1" applyFill="1" applyBorder="1" applyAlignment="1">
      <alignment horizontal="center" vertical="center"/>
    </xf>
    <xf numFmtId="164" fontId="0" fillId="3" borderId="19" xfId="0" applyNumberFormat="1" applyFill="1" applyBorder="1" applyAlignment="1">
      <alignment horizontal="left"/>
    </xf>
    <xf numFmtId="164" fontId="0" fillId="5" borderId="16" xfId="0" applyNumberForma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1" fontId="0" fillId="3" borderId="20" xfId="0" applyNumberFormat="1" applyFill="1" applyBorder="1" applyAlignment="1">
      <alignment horizontal="center" vertical="center"/>
    </xf>
    <xf numFmtId="164" fontId="0" fillId="3" borderId="16" xfId="0" applyNumberFormat="1" applyFill="1" applyBorder="1" applyAlignment="1">
      <alignment horizontal="left"/>
    </xf>
    <xf numFmtId="164" fontId="0" fillId="0" borderId="0" xfId="0" applyNumberFormat="1"/>
    <xf numFmtId="0" fontId="0" fillId="0" borderId="0" xfId="0" applyAlignment="1">
      <alignment horizontal="center"/>
    </xf>
    <xf numFmtId="164" fontId="3" fillId="3" borderId="16" xfId="0" applyNumberFormat="1" applyFont="1" applyFill="1" applyBorder="1" applyAlignment="1">
      <alignment horizontal="center" vertical="center"/>
    </xf>
    <xf numFmtId="0" fontId="0" fillId="3" borderId="18" xfId="0" applyFill="1" applyBorder="1" applyAlignment="1">
      <alignment horizontal="left"/>
    </xf>
    <xf numFmtId="164" fontId="0" fillId="3" borderId="10" xfId="0" applyNumberFormat="1" applyFill="1" applyBorder="1" applyAlignment="1">
      <alignment horizontal="center" vertical="center"/>
    </xf>
    <xf numFmtId="164" fontId="2" fillId="6" borderId="16" xfId="0" applyNumberFormat="1" applyFont="1" applyFill="1" applyBorder="1" applyAlignment="1">
      <alignment horizontal="center" vertical="center"/>
    </xf>
    <xf numFmtId="164" fontId="2" fillId="7" borderId="16" xfId="0" applyNumberFormat="1" applyFont="1" applyFill="1" applyBorder="1" applyAlignment="1">
      <alignment horizontal="center" vertical="center"/>
    </xf>
    <xf numFmtId="164" fontId="3" fillId="0" borderId="0" xfId="0" applyNumberFormat="1" applyFont="1"/>
    <xf numFmtId="164" fontId="3" fillId="8" borderId="0" xfId="0" applyNumberFormat="1" applyFont="1" applyFill="1"/>
    <xf numFmtId="0" fontId="3" fillId="0" borderId="0" xfId="0" applyFont="1"/>
    <xf numFmtId="0" fontId="4" fillId="9" borderId="21" xfId="0" applyFont="1" applyFill="1" applyBorder="1" applyAlignment="1">
      <alignment horizontal="center"/>
    </xf>
    <xf numFmtId="0" fontId="5" fillId="0" borderId="0" xfId="0" applyFont="1"/>
    <xf numFmtId="0" fontId="5" fillId="0" borderId="21" xfId="0" applyFont="1" applyBorder="1" applyAlignment="1">
      <alignment horizontal="center" vertical="center"/>
    </xf>
    <xf numFmtId="164" fontId="5" fillId="0" borderId="21" xfId="0" applyNumberFormat="1" applyFont="1" applyBorder="1"/>
    <xf numFmtId="1" fontId="5" fillId="0" borderId="21" xfId="0" applyNumberFormat="1" applyFont="1" applyBorder="1" applyAlignment="1">
      <alignment horizontal="center" vertical="center"/>
    </xf>
    <xf numFmtId="0" fontId="5" fillId="0" borderId="21" xfId="0" applyFont="1" applyBorder="1"/>
    <xf numFmtId="165" fontId="5" fillId="0" borderId="21" xfId="0" applyNumberFormat="1" applyFont="1" applyBorder="1"/>
    <xf numFmtId="0" fontId="6" fillId="9" borderId="21" xfId="0" applyFont="1" applyFill="1" applyBorder="1" applyAlignment="1">
      <alignment horizontal="center"/>
    </xf>
    <xf numFmtId="9" fontId="5" fillId="0" borderId="0" xfId="0" applyNumberFormat="1" applyFont="1"/>
    <xf numFmtId="164" fontId="7" fillId="0" borderId="21" xfId="0" applyNumberFormat="1" applyFont="1" applyBorder="1"/>
    <xf numFmtId="0" fontId="0" fillId="0" borderId="0" xfId="0" applyFill="1" applyBorder="1"/>
    <xf numFmtId="0" fontId="4" fillId="0" borderId="0" xfId="0" applyFont="1" applyFill="1" applyBorder="1" applyAlignment="1">
      <alignment horizontal="center"/>
    </xf>
    <xf numFmtId="1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/>
    <xf numFmtId="164" fontId="7" fillId="0" borderId="0" xfId="0" applyNumberFormat="1" applyFont="1" applyBorder="1"/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0" fillId="5" borderId="5" xfId="0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 shrinkToFit="1"/>
    </xf>
    <xf numFmtId="0" fontId="2" fillId="2" borderId="9" xfId="0" applyFont="1" applyFill="1" applyBorder="1" applyAlignment="1">
      <alignment horizontal="center" vertical="center" wrapText="1" shrinkToFit="1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166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jefecomercial/OneDrive/Documentos/Data%20Solutions/Jefatura%20Comercial/Documentaci&#243;n%20Importante/Propuestas/Propuestas%20UIO/Propuestas%20Santiago/Ecuasistencia/Inventario%20de%20Cajas_Ecusistencia_Locker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-CAJAS"/>
      <sheetName val="RESUMEN DE INV"/>
      <sheetName val="RESUMEN DE INV_1"/>
      <sheetName val="Flujo de Pagos"/>
      <sheetName val="Flujo de Pagos_1"/>
    </sheetNames>
    <sheetDataSet>
      <sheetData sheetId="0"/>
      <sheetData sheetId="1"/>
      <sheetData sheetId="2">
        <row r="6">
          <cell r="B6" t="str">
            <v>RESUMEN DE INVENTARIO</v>
          </cell>
        </row>
        <row r="17">
          <cell r="D17">
            <v>4</v>
          </cell>
          <cell r="E17">
            <v>66.25</v>
          </cell>
        </row>
        <row r="18">
          <cell r="E18">
            <v>33.125</v>
          </cell>
        </row>
        <row r="65">
          <cell r="C65">
            <v>234.75</v>
          </cell>
        </row>
        <row r="66">
          <cell r="C66">
            <v>1256.75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7E0A51-2BBF-4268-A410-137B7217CBFE}">
  <dimension ref="B2:W48"/>
  <sheetViews>
    <sheetView tabSelected="1" topLeftCell="B11" workbookViewId="0">
      <selection activeCell="I28" sqref="I28"/>
    </sheetView>
  </sheetViews>
  <sheetFormatPr baseColWidth="10" defaultRowHeight="15" x14ac:dyDescent="0.2"/>
  <cols>
    <col min="2" max="2" width="28.5" bestFit="1" customWidth="1"/>
    <col min="4" max="4" width="14.33203125" bestFit="1" customWidth="1"/>
    <col min="7" max="7" width="17.83203125" customWidth="1"/>
    <col min="8" max="8" width="16.83203125" customWidth="1"/>
  </cols>
  <sheetData>
    <row r="2" spans="2:20" x14ac:dyDescent="0.2">
      <c r="B2" s="56" t="s">
        <v>0</v>
      </c>
      <c r="C2" s="69"/>
      <c r="D2" s="69"/>
      <c r="E2" s="69"/>
      <c r="F2" s="69"/>
      <c r="G2" s="69"/>
      <c r="H2" s="57"/>
    </row>
    <row r="4" spans="2:20" x14ac:dyDescent="0.2">
      <c r="B4" s="70" t="s">
        <v>1</v>
      </c>
      <c r="C4" s="72" t="s">
        <v>2</v>
      </c>
      <c r="D4" s="74" t="s">
        <v>3</v>
      </c>
      <c r="E4" s="75"/>
      <c r="F4" s="74" t="s">
        <v>4</v>
      </c>
      <c r="G4" s="75"/>
      <c r="H4" s="1" t="s">
        <v>5</v>
      </c>
    </row>
    <row r="5" spans="2:20" x14ac:dyDescent="0.2">
      <c r="B5" s="71"/>
      <c r="C5" s="73"/>
      <c r="D5" s="2" t="s">
        <v>6</v>
      </c>
      <c r="E5" s="1" t="s">
        <v>7</v>
      </c>
      <c r="F5" s="3">
        <v>0.35</v>
      </c>
      <c r="G5" s="3">
        <f>1-F5</f>
        <v>0.65</v>
      </c>
      <c r="H5" s="3">
        <f>F5+G5</f>
        <v>1</v>
      </c>
    </row>
    <row r="6" spans="2:20" x14ac:dyDescent="0.2">
      <c r="B6" s="4" t="s">
        <v>8</v>
      </c>
      <c r="C6" s="5">
        <v>395</v>
      </c>
      <c r="D6" s="6">
        <f>'[1]RESUMEN DE INV_1'!D17</f>
        <v>4</v>
      </c>
      <c r="E6" s="7">
        <f>AVERAGE('[1]RESUMEN DE INV_1'!E17:E18)</f>
        <v>49.6875</v>
      </c>
      <c r="F6" s="7">
        <f>(C6*D6)*F5</f>
        <v>553</v>
      </c>
      <c r="G6" s="8">
        <f>(C6*E6)*G5</f>
        <v>12757.265625</v>
      </c>
      <c r="H6" s="8">
        <f>F6+G6</f>
        <v>13310.265625</v>
      </c>
    </row>
    <row r="8" spans="2:20" x14ac:dyDescent="0.2">
      <c r="F8" s="9"/>
      <c r="G8" s="10" t="s">
        <v>9</v>
      </c>
      <c r="H8" s="11">
        <f>H6</f>
        <v>13310.265625</v>
      </c>
    </row>
    <row r="9" spans="2:20" x14ac:dyDescent="0.2">
      <c r="G9" s="12" t="s">
        <v>10</v>
      </c>
      <c r="H9" s="13">
        <v>0.18</v>
      </c>
    </row>
    <row r="10" spans="2:20" x14ac:dyDescent="0.2">
      <c r="G10" s="14"/>
      <c r="H10" s="15"/>
    </row>
    <row r="11" spans="2:20" x14ac:dyDescent="0.2">
      <c r="F11" s="9"/>
      <c r="G11" s="16" t="s">
        <v>11</v>
      </c>
      <c r="H11" s="17">
        <f>H8*H9</f>
        <v>2395.8478124999997</v>
      </c>
    </row>
    <row r="13" spans="2:20" x14ac:dyDescent="0.2">
      <c r="B13" s="1" t="s">
        <v>12</v>
      </c>
      <c r="G13" s="56" t="s">
        <v>13</v>
      </c>
      <c r="H13" s="57"/>
    </row>
    <row r="14" spans="2:20" x14ac:dyDescent="0.2">
      <c r="B14" s="1" t="s">
        <v>14</v>
      </c>
      <c r="C14" s="2" t="s">
        <v>15</v>
      </c>
      <c r="D14" s="2" t="s">
        <v>16</v>
      </c>
      <c r="E14" s="1" t="s">
        <v>17</v>
      </c>
      <c r="G14" s="56" t="s">
        <v>18</v>
      </c>
      <c r="H14" s="57"/>
      <c r="I14" s="2" t="s">
        <v>19</v>
      </c>
      <c r="J14" s="2" t="s">
        <v>20</v>
      </c>
      <c r="K14" s="2" t="s">
        <v>21</v>
      </c>
      <c r="L14" s="2" t="s">
        <v>22</v>
      </c>
      <c r="M14" s="2" t="s">
        <v>23</v>
      </c>
      <c r="N14" s="2" t="s">
        <v>24</v>
      </c>
      <c r="O14" s="18" t="s">
        <v>25</v>
      </c>
      <c r="P14" s="18" t="s">
        <v>26</v>
      </c>
      <c r="Q14" s="18" t="s">
        <v>27</v>
      </c>
      <c r="R14" s="18" t="s">
        <v>28</v>
      </c>
      <c r="S14" s="18" t="s">
        <v>29</v>
      </c>
      <c r="T14" s="18" t="s">
        <v>30</v>
      </c>
    </row>
    <row r="15" spans="2:20" x14ac:dyDescent="0.2">
      <c r="B15" s="4" t="s">
        <v>31</v>
      </c>
      <c r="C15" s="7">
        <f>'[1]RESUMEN DE INV_1'!C65</f>
        <v>234.75</v>
      </c>
      <c r="D15" s="19">
        <v>1.2</v>
      </c>
      <c r="E15" s="20">
        <f>C15*D15</f>
        <v>281.7</v>
      </c>
      <c r="G15" s="76" t="s">
        <v>32</v>
      </c>
      <c r="H15" s="77"/>
      <c r="I15" s="21">
        <f>+'Flujo de Pagos_1Y'!I15</f>
        <v>352.97999999999996</v>
      </c>
      <c r="J15" s="21">
        <f>I15</f>
        <v>352.97999999999996</v>
      </c>
      <c r="K15" s="21">
        <f t="shared" ref="K15:T16" si="0">J15</f>
        <v>352.97999999999996</v>
      </c>
      <c r="L15" s="21">
        <f t="shared" si="0"/>
        <v>352.97999999999996</v>
      </c>
      <c r="M15" s="21">
        <f t="shared" si="0"/>
        <v>352.97999999999996</v>
      </c>
      <c r="N15" s="21">
        <f t="shared" si="0"/>
        <v>352.97999999999996</v>
      </c>
      <c r="O15" s="21">
        <f t="shared" si="0"/>
        <v>352.97999999999996</v>
      </c>
      <c r="P15" s="21">
        <f t="shared" si="0"/>
        <v>352.97999999999996</v>
      </c>
      <c r="Q15" s="21">
        <f t="shared" si="0"/>
        <v>352.97999999999996</v>
      </c>
      <c r="R15" s="21">
        <f t="shared" si="0"/>
        <v>352.97999999999996</v>
      </c>
      <c r="S15" s="21">
        <f t="shared" si="0"/>
        <v>352.97999999999996</v>
      </c>
      <c r="T15" s="21">
        <f t="shared" si="0"/>
        <v>352.97999999999996</v>
      </c>
    </row>
    <row r="16" spans="2:20" x14ac:dyDescent="0.2">
      <c r="B16" s="22" t="s">
        <v>33</v>
      </c>
      <c r="C16" s="23">
        <f>'[1]RESUMEN DE INV_1'!C66</f>
        <v>1256.75</v>
      </c>
      <c r="D16" s="24">
        <v>1.03</v>
      </c>
      <c r="E16" s="21">
        <f>C16*D16</f>
        <v>1294.4525000000001</v>
      </c>
      <c r="G16" s="65" t="s">
        <v>34</v>
      </c>
      <c r="H16" s="66"/>
      <c r="I16" s="21">
        <f>E24</f>
        <v>226.215</v>
      </c>
      <c r="J16" s="21">
        <f>I16</f>
        <v>226.215</v>
      </c>
      <c r="K16" s="21">
        <f t="shared" si="0"/>
        <v>226.215</v>
      </c>
      <c r="L16" s="21">
        <f t="shared" si="0"/>
        <v>226.215</v>
      </c>
      <c r="M16" s="21">
        <f t="shared" si="0"/>
        <v>226.215</v>
      </c>
      <c r="N16" s="21">
        <f t="shared" si="0"/>
        <v>226.215</v>
      </c>
      <c r="O16" s="21">
        <f t="shared" si="0"/>
        <v>226.215</v>
      </c>
      <c r="P16" s="21">
        <f t="shared" si="0"/>
        <v>226.215</v>
      </c>
      <c r="Q16" s="21">
        <f t="shared" si="0"/>
        <v>226.215</v>
      </c>
      <c r="R16" s="21">
        <f t="shared" si="0"/>
        <v>226.215</v>
      </c>
      <c r="S16" s="21">
        <f t="shared" si="0"/>
        <v>226.215</v>
      </c>
      <c r="T16" s="21">
        <f t="shared" si="0"/>
        <v>226.215</v>
      </c>
    </row>
    <row r="17" spans="2:23" x14ac:dyDescent="0.2">
      <c r="B17" s="22" t="s">
        <v>35</v>
      </c>
      <c r="C17" s="25">
        <f>H8</f>
        <v>13310.265625</v>
      </c>
      <c r="D17" s="26">
        <f>H9</f>
        <v>0.18</v>
      </c>
      <c r="E17" s="21">
        <f>C17*D17</f>
        <v>2395.8478124999997</v>
      </c>
      <c r="H17" s="15"/>
    </row>
    <row r="18" spans="2:23" x14ac:dyDescent="0.2">
      <c r="G18" s="58" t="s">
        <v>36</v>
      </c>
      <c r="H18" s="59"/>
      <c r="I18" s="27">
        <f>I15-I16</f>
        <v>126.76499999999996</v>
      </c>
      <c r="J18" s="27">
        <f t="shared" ref="J18:T18" si="1">J15-J16</f>
        <v>126.76499999999996</v>
      </c>
      <c r="K18" s="27">
        <f t="shared" si="1"/>
        <v>126.76499999999996</v>
      </c>
      <c r="L18" s="27">
        <f t="shared" si="1"/>
        <v>126.76499999999996</v>
      </c>
      <c r="M18" s="27">
        <f t="shared" si="1"/>
        <v>126.76499999999996</v>
      </c>
      <c r="N18" s="27">
        <f t="shared" si="1"/>
        <v>126.76499999999996</v>
      </c>
      <c r="O18" s="27">
        <f t="shared" si="1"/>
        <v>126.76499999999996</v>
      </c>
      <c r="P18" s="27">
        <f t="shared" si="1"/>
        <v>126.76499999999996</v>
      </c>
      <c r="Q18" s="27">
        <f t="shared" si="1"/>
        <v>126.76499999999996</v>
      </c>
      <c r="R18" s="27">
        <f t="shared" si="1"/>
        <v>126.76499999999996</v>
      </c>
      <c r="S18" s="27">
        <f t="shared" si="1"/>
        <v>126.76499999999996</v>
      </c>
      <c r="T18" s="27">
        <f t="shared" si="1"/>
        <v>126.76499999999996</v>
      </c>
      <c r="V18" s="39">
        <f>SUM(I18:U18)</f>
        <v>1521.1799999999994</v>
      </c>
    </row>
    <row r="19" spans="2:23" x14ac:dyDescent="0.2">
      <c r="D19" s="16" t="s">
        <v>37</v>
      </c>
      <c r="E19" s="17">
        <f>SUM(E15:E18)</f>
        <v>3972.0003124999998</v>
      </c>
    </row>
    <row r="20" spans="2:23" x14ac:dyDescent="0.2">
      <c r="D20" s="16" t="s">
        <v>38</v>
      </c>
      <c r="E20" s="17">
        <f>E19*12%</f>
        <v>476.64003749999995</v>
      </c>
    </row>
    <row r="21" spans="2:23" x14ac:dyDescent="0.2">
      <c r="D21" s="16" t="s">
        <v>11</v>
      </c>
      <c r="E21" s="17">
        <f>E19+E20</f>
        <v>4448.6403499999997</v>
      </c>
      <c r="G21" s="56" t="s">
        <v>39</v>
      </c>
      <c r="H21" s="57"/>
    </row>
    <row r="22" spans="2:23" x14ac:dyDescent="0.2">
      <c r="G22" s="56" t="s">
        <v>18</v>
      </c>
      <c r="H22" s="57"/>
      <c r="I22" s="2" t="s">
        <v>19</v>
      </c>
      <c r="J22" s="2" t="s">
        <v>20</v>
      </c>
      <c r="K22" s="2" t="s">
        <v>21</v>
      </c>
      <c r="L22" s="2" t="s">
        <v>22</v>
      </c>
      <c r="M22" s="2" t="s">
        <v>23</v>
      </c>
      <c r="N22" s="2" t="s">
        <v>24</v>
      </c>
      <c r="O22" s="18" t="s">
        <v>25</v>
      </c>
      <c r="P22" s="18" t="s">
        <v>26</v>
      </c>
      <c r="Q22" s="18" t="s">
        <v>27</v>
      </c>
      <c r="R22" s="18" t="s">
        <v>28</v>
      </c>
      <c r="S22" s="18" t="s">
        <v>29</v>
      </c>
      <c r="T22" s="18" t="s">
        <v>30</v>
      </c>
    </row>
    <row r="23" spans="2:23" x14ac:dyDescent="0.2">
      <c r="B23" s="28" t="s">
        <v>14</v>
      </c>
      <c r="C23" s="2" t="s">
        <v>15</v>
      </c>
      <c r="D23" s="2" t="s">
        <v>16</v>
      </c>
      <c r="E23" s="1" t="s">
        <v>17</v>
      </c>
      <c r="G23" s="63" t="s">
        <v>40</v>
      </c>
      <c r="H23" s="64"/>
      <c r="I23" s="27">
        <v>0.28999999999999998</v>
      </c>
      <c r="J23" s="27">
        <f>I23-0.01</f>
        <v>0.27999999999999997</v>
      </c>
      <c r="K23" s="27">
        <f t="shared" ref="K23" si="2">J23-0.01</f>
        <v>0.26999999999999996</v>
      </c>
      <c r="L23" s="27">
        <v>0.23508999999999999</v>
      </c>
      <c r="M23" s="27">
        <v>0.22</v>
      </c>
      <c r="N23" s="27">
        <v>0.18</v>
      </c>
      <c r="O23" s="27">
        <v>0.18</v>
      </c>
      <c r="P23" s="27">
        <v>0.18</v>
      </c>
      <c r="Q23" s="27">
        <v>0.18</v>
      </c>
      <c r="R23" s="27">
        <v>0.18</v>
      </c>
      <c r="S23" s="27">
        <v>0.18</v>
      </c>
      <c r="T23" s="27">
        <v>0.18</v>
      </c>
    </row>
    <row r="24" spans="2:23" x14ac:dyDescent="0.2">
      <c r="B24" s="22" t="s">
        <v>41</v>
      </c>
      <c r="C24" s="29">
        <f>C16</f>
        <v>1256.75</v>
      </c>
      <c r="D24" s="30">
        <f>D17</f>
        <v>0.18</v>
      </c>
      <c r="E24" s="20">
        <f>C24*D24</f>
        <v>226.215</v>
      </c>
      <c r="G24" s="65" t="s">
        <v>42</v>
      </c>
      <c r="H24" s="66"/>
      <c r="I24" s="21">
        <f>$C$31*I23</f>
        <v>2001.58</v>
      </c>
      <c r="J24" s="21">
        <f t="shared" ref="J24:T24" si="3">$C$31*J23</f>
        <v>1932.5599999999997</v>
      </c>
      <c r="K24" s="21">
        <f t="shared" si="3"/>
        <v>1863.5399999999997</v>
      </c>
      <c r="L24" s="21">
        <f t="shared" si="3"/>
        <v>1622.5911799999999</v>
      </c>
      <c r="M24" s="21">
        <f t="shared" si="3"/>
        <v>1518.44</v>
      </c>
      <c r="N24" s="21">
        <f t="shared" si="3"/>
        <v>1242.3599999999999</v>
      </c>
      <c r="O24" s="21">
        <f t="shared" si="3"/>
        <v>1242.3599999999999</v>
      </c>
      <c r="P24" s="21">
        <f t="shared" si="3"/>
        <v>1242.3599999999999</v>
      </c>
      <c r="Q24" s="21">
        <f t="shared" si="3"/>
        <v>1242.3599999999999</v>
      </c>
      <c r="R24" s="21">
        <f t="shared" si="3"/>
        <v>1242.3599999999999</v>
      </c>
      <c r="S24" s="21">
        <f t="shared" si="3"/>
        <v>1242.3599999999999</v>
      </c>
      <c r="T24" s="21">
        <f t="shared" si="3"/>
        <v>1242.3599999999999</v>
      </c>
      <c r="V24" s="31"/>
    </row>
    <row r="25" spans="2:23" x14ac:dyDescent="0.2">
      <c r="C25" s="32"/>
      <c r="D25" s="31"/>
      <c r="E25" s="31"/>
      <c r="G25" s="67" t="s">
        <v>43</v>
      </c>
      <c r="H25" s="68"/>
      <c r="I25" s="27">
        <f>$E$19/12</f>
        <v>331.00002604166667</v>
      </c>
      <c r="J25" s="27">
        <f t="shared" ref="J25:T25" si="4">$E$19/12</f>
        <v>331.00002604166667</v>
      </c>
      <c r="K25" s="27">
        <f t="shared" si="4"/>
        <v>331.00002604166667</v>
      </c>
      <c r="L25" s="27">
        <f t="shared" si="4"/>
        <v>331.00002604166667</v>
      </c>
      <c r="M25" s="27">
        <f t="shared" si="4"/>
        <v>331.00002604166667</v>
      </c>
      <c r="N25" s="27">
        <f t="shared" si="4"/>
        <v>331.00002604166667</v>
      </c>
      <c r="O25" s="27">
        <f t="shared" si="4"/>
        <v>331.00002604166667</v>
      </c>
      <c r="P25" s="27">
        <f t="shared" si="4"/>
        <v>331.00002604166667</v>
      </c>
      <c r="Q25" s="27">
        <f t="shared" si="4"/>
        <v>331.00002604166667</v>
      </c>
      <c r="R25" s="27">
        <f t="shared" si="4"/>
        <v>331.00002604166667</v>
      </c>
      <c r="S25" s="27">
        <f t="shared" si="4"/>
        <v>331.00002604166667</v>
      </c>
      <c r="T25" s="27">
        <f t="shared" si="4"/>
        <v>331.00002604166667</v>
      </c>
      <c r="V25" s="31"/>
    </row>
    <row r="26" spans="2:23" x14ac:dyDescent="0.2">
      <c r="D26" s="16" t="s">
        <v>37</v>
      </c>
      <c r="E26" s="17">
        <f>SUM(E23:E24)</f>
        <v>226.215</v>
      </c>
      <c r="G26" s="65" t="s">
        <v>36</v>
      </c>
      <c r="H26" s="66"/>
      <c r="I26" s="21">
        <f>I25-I18</f>
        <v>204.23502604166671</v>
      </c>
      <c r="J26" s="21">
        <f t="shared" ref="J26:T26" si="5">J25-J18</f>
        <v>204.23502604166671</v>
      </c>
      <c r="K26" s="21">
        <f t="shared" si="5"/>
        <v>204.23502604166671</v>
      </c>
      <c r="L26" s="21">
        <f t="shared" si="5"/>
        <v>204.23502604166671</v>
      </c>
      <c r="M26" s="21">
        <f t="shared" si="5"/>
        <v>204.23502604166671</v>
      </c>
      <c r="N26" s="21">
        <f t="shared" si="5"/>
        <v>204.23502604166671</v>
      </c>
      <c r="O26" s="21">
        <f t="shared" si="5"/>
        <v>204.23502604166671</v>
      </c>
      <c r="P26" s="21">
        <f t="shared" si="5"/>
        <v>204.23502604166671</v>
      </c>
      <c r="Q26" s="21">
        <f t="shared" si="5"/>
        <v>204.23502604166671</v>
      </c>
      <c r="R26" s="21">
        <f t="shared" si="5"/>
        <v>204.23502604166671</v>
      </c>
      <c r="S26" s="21">
        <f t="shared" si="5"/>
        <v>204.23502604166671</v>
      </c>
      <c r="T26" s="21">
        <f t="shared" si="5"/>
        <v>204.23502604166671</v>
      </c>
      <c r="V26" s="39">
        <f>SUM(I26:U26)</f>
        <v>2450.8203125000005</v>
      </c>
      <c r="W26" s="39">
        <f>+V26+V18</f>
        <v>3972.0003124999998</v>
      </c>
    </row>
    <row r="27" spans="2:23" x14ac:dyDescent="0.2">
      <c r="D27" s="16" t="s">
        <v>38</v>
      </c>
      <c r="E27" s="17">
        <f>E26*12%</f>
        <v>27.145799999999998</v>
      </c>
    </row>
    <row r="28" spans="2:23" x14ac:dyDescent="0.2">
      <c r="D28" s="16" t="s">
        <v>11</v>
      </c>
      <c r="E28" s="17">
        <f>E26+E27</f>
        <v>253.36080000000001</v>
      </c>
      <c r="G28" s="56" t="s">
        <v>44</v>
      </c>
      <c r="H28" s="57"/>
      <c r="I28" s="33">
        <f>+I24</f>
        <v>2001.58</v>
      </c>
      <c r="J28" s="33">
        <f t="shared" ref="J28:T28" si="6">+J24</f>
        <v>1932.5599999999997</v>
      </c>
      <c r="K28" s="33">
        <f t="shared" si="6"/>
        <v>1863.5399999999997</v>
      </c>
      <c r="L28" s="33">
        <f t="shared" si="6"/>
        <v>1622.5911799999999</v>
      </c>
      <c r="M28" s="33">
        <f t="shared" si="6"/>
        <v>1518.44</v>
      </c>
      <c r="N28" s="33">
        <f t="shared" si="6"/>
        <v>1242.3599999999999</v>
      </c>
      <c r="O28" s="33">
        <f t="shared" si="6"/>
        <v>1242.3599999999999</v>
      </c>
      <c r="P28" s="33">
        <f t="shared" si="6"/>
        <v>1242.3599999999999</v>
      </c>
      <c r="Q28" s="33">
        <f t="shared" si="6"/>
        <v>1242.3599999999999</v>
      </c>
      <c r="R28" s="33">
        <f t="shared" si="6"/>
        <v>1242.3599999999999</v>
      </c>
      <c r="S28" s="33">
        <f t="shared" si="6"/>
        <v>1242.3599999999999</v>
      </c>
      <c r="T28" s="33">
        <f t="shared" si="6"/>
        <v>1242.3599999999999</v>
      </c>
    </row>
    <row r="30" spans="2:23" x14ac:dyDescent="0.2">
      <c r="B30" s="2" t="s">
        <v>14</v>
      </c>
      <c r="C30" s="2" t="s">
        <v>15</v>
      </c>
      <c r="D30" s="2" t="s">
        <v>16</v>
      </c>
      <c r="E30" s="1" t="s">
        <v>17</v>
      </c>
      <c r="G30" s="56" t="s">
        <v>45</v>
      </c>
      <c r="H30" s="57"/>
      <c r="I30" s="33">
        <f>I15</f>
        <v>352.97999999999996</v>
      </c>
      <c r="J30" s="33">
        <f t="shared" ref="J30:T30" si="7">J15</f>
        <v>352.97999999999996</v>
      </c>
      <c r="K30" s="33">
        <f t="shared" si="7"/>
        <v>352.97999999999996</v>
      </c>
      <c r="L30" s="33">
        <f t="shared" si="7"/>
        <v>352.97999999999996</v>
      </c>
      <c r="M30" s="33">
        <f t="shared" si="7"/>
        <v>352.97999999999996</v>
      </c>
      <c r="N30" s="33">
        <f t="shared" si="7"/>
        <v>352.97999999999996</v>
      </c>
      <c r="O30" s="33">
        <f t="shared" si="7"/>
        <v>352.97999999999996</v>
      </c>
      <c r="P30" s="33">
        <f t="shared" si="7"/>
        <v>352.97999999999996</v>
      </c>
      <c r="Q30" s="33">
        <f t="shared" si="7"/>
        <v>352.97999999999996</v>
      </c>
      <c r="R30" s="33">
        <f t="shared" si="7"/>
        <v>352.97999999999996</v>
      </c>
      <c r="S30" s="33">
        <f t="shared" si="7"/>
        <v>352.97999999999996</v>
      </c>
      <c r="T30" s="33">
        <f t="shared" si="7"/>
        <v>352.97999999999996</v>
      </c>
    </row>
    <row r="31" spans="2:23" x14ac:dyDescent="0.2">
      <c r="B31" s="34" t="s">
        <v>46</v>
      </c>
      <c r="C31" s="7">
        <v>6902</v>
      </c>
      <c r="D31" s="19">
        <v>0.28999999999999998</v>
      </c>
      <c r="E31" s="35">
        <f>C31*D31</f>
        <v>2001.58</v>
      </c>
    </row>
    <row r="32" spans="2:23" x14ac:dyDescent="0.2">
      <c r="G32" s="56" t="s">
        <v>47</v>
      </c>
      <c r="H32" s="57"/>
      <c r="I32" s="36">
        <f>I28+I30</f>
        <v>2354.56</v>
      </c>
      <c r="J32" s="36">
        <f t="shared" ref="J32:T32" si="8">J28+J30</f>
        <v>2285.5399999999995</v>
      </c>
      <c r="K32" s="36">
        <f t="shared" si="8"/>
        <v>2216.5199999999995</v>
      </c>
      <c r="L32" s="36">
        <f t="shared" si="8"/>
        <v>1975.5711799999999</v>
      </c>
      <c r="M32" s="36">
        <f t="shared" si="8"/>
        <v>1871.42</v>
      </c>
      <c r="N32" s="36">
        <f t="shared" si="8"/>
        <v>1595.34</v>
      </c>
      <c r="O32" s="36">
        <f t="shared" si="8"/>
        <v>1595.34</v>
      </c>
      <c r="P32" s="36">
        <f t="shared" si="8"/>
        <v>1595.34</v>
      </c>
      <c r="Q32" s="36">
        <f t="shared" si="8"/>
        <v>1595.34</v>
      </c>
      <c r="R32" s="36">
        <f t="shared" si="8"/>
        <v>1595.34</v>
      </c>
      <c r="S32" s="36">
        <f t="shared" si="8"/>
        <v>1595.34</v>
      </c>
      <c r="T32" s="36">
        <f t="shared" si="8"/>
        <v>1595.34</v>
      </c>
    </row>
    <row r="33" spans="2:23" x14ac:dyDescent="0.2">
      <c r="D33" s="16" t="s">
        <v>37</v>
      </c>
      <c r="E33" s="17">
        <f>SUM(E31:E32)</f>
        <v>2001.58</v>
      </c>
    </row>
    <row r="34" spans="2:23" x14ac:dyDescent="0.2">
      <c r="D34" s="16" t="s">
        <v>38</v>
      </c>
      <c r="E34" s="17">
        <f>E33*12%</f>
        <v>240.18959999999998</v>
      </c>
      <c r="G34" s="56" t="s">
        <v>48</v>
      </c>
      <c r="H34" s="57"/>
      <c r="I34" s="33">
        <f>+'Flujo de Pagos_1Y'!I34</f>
        <v>2354.56</v>
      </c>
      <c r="J34" s="33">
        <f>I34</f>
        <v>2354.56</v>
      </c>
      <c r="K34" s="33">
        <f t="shared" ref="K34:T34" si="9">J34</f>
        <v>2354.56</v>
      </c>
      <c r="L34" s="33">
        <f t="shared" si="9"/>
        <v>2354.56</v>
      </c>
      <c r="M34" s="33">
        <f t="shared" si="9"/>
        <v>2354.56</v>
      </c>
      <c r="N34" s="33">
        <f t="shared" si="9"/>
        <v>2354.56</v>
      </c>
      <c r="O34" s="33">
        <f t="shared" si="9"/>
        <v>2354.56</v>
      </c>
      <c r="P34" s="33">
        <f t="shared" si="9"/>
        <v>2354.56</v>
      </c>
      <c r="Q34" s="33">
        <f t="shared" si="9"/>
        <v>2354.56</v>
      </c>
      <c r="R34" s="33">
        <f t="shared" si="9"/>
        <v>2354.56</v>
      </c>
      <c r="S34" s="33">
        <f t="shared" si="9"/>
        <v>2354.56</v>
      </c>
      <c r="T34" s="33">
        <f t="shared" si="9"/>
        <v>2354.56</v>
      </c>
    </row>
    <row r="35" spans="2:23" x14ac:dyDescent="0.2">
      <c r="D35" s="16" t="s">
        <v>11</v>
      </c>
      <c r="E35" s="17">
        <f>E33+E34</f>
        <v>2241.7696000000001</v>
      </c>
    </row>
    <row r="36" spans="2:23" x14ac:dyDescent="0.2">
      <c r="G36" s="58" t="s">
        <v>49</v>
      </c>
      <c r="H36" s="59"/>
      <c r="I36" s="37">
        <f>I34-I32</f>
        <v>0</v>
      </c>
      <c r="J36" s="37">
        <f t="shared" ref="J36:T36" si="10">J34-J32</f>
        <v>69.020000000000437</v>
      </c>
      <c r="K36" s="37">
        <f t="shared" si="10"/>
        <v>138.04000000000042</v>
      </c>
      <c r="L36" s="37">
        <f t="shared" si="10"/>
        <v>378.98882000000003</v>
      </c>
      <c r="M36" s="37">
        <f t="shared" si="10"/>
        <v>483.13999999999987</v>
      </c>
      <c r="N36" s="37">
        <f t="shared" si="10"/>
        <v>759.22</v>
      </c>
      <c r="O36" s="37">
        <f t="shared" si="10"/>
        <v>759.22</v>
      </c>
      <c r="P36" s="37">
        <f t="shared" si="10"/>
        <v>759.22</v>
      </c>
      <c r="Q36" s="37">
        <f t="shared" si="10"/>
        <v>759.22</v>
      </c>
      <c r="R36" s="37">
        <f t="shared" si="10"/>
        <v>759.22</v>
      </c>
      <c r="S36" s="37">
        <f t="shared" si="10"/>
        <v>759.22</v>
      </c>
      <c r="T36" s="37">
        <f t="shared" si="10"/>
        <v>759.22</v>
      </c>
      <c r="V36" s="31">
        <f>SUM(I36:U36)</f>
        <v>6383.7288200000021</v>
      </c>
      <c r="W36" s="31">
        <f>+V36-W48</f>
        <v>-276.09086749999733</v>
      </c>
    </row>
    <row r="38" spans="2:23" x14ac:dyDescent="0.2">
      <c r="B38" s="28" t="s">
        <v>14</v>
      </c>
      <c r="C38" s="2" t="s">
        <v>15</v>
      </c>
      <c r="D38" s="2" t="s">
        <v>16</v>
      </c>
      <c r="E38" s="1" t="s">
        <v>17</v>
      </c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</row>
    <row r="39" spans="2:23" x14ac:dyDescent="0.2">
      <c r="B39" s="22" t="s">
        <v>41</v>
      </c>
      <c r="C39" s="29" t="e">
        <f>GETPIVOTDATA("NUMERO DE CAJA",'[1]RESUMEN DE INV_1'!$B$6)</f>
        <v>#REF!</v>
      </c>
      <c r="D39" s="30">
        <f>D24</f>
        <v>0.18</v>
      </c>
      <c r="E39" s="20" t="e">
        <f>C39*D39</f>
        <v>#REF!</v>
      </c>
      <c r="G39" t="s">
        <v>57</v>
      </c>
      <c r="I39" s="31">
        <v>759.22</v>
      </c>
      <c r="J39" s="31">
        <v>759.22</v>
      </c>
      <c r="K39" s="31">
        <v>759.22</v>
      </c>
      <c r="L39" s="31">
        <v>759.22</v>
      </c>
      <c r="M39" s="31">
        <v>759.22</v>
      </c>
      <c r="N39" s="31">
        <v>759.22</v>
      </c>
      <c r="O39" s="31">
        <v>759.22</v>
      </c>
      <c r="P39" s="31">
        <v>759.22</v>
      </c>
      <c r="Q39" s="31">
        <v>759.22</v>
      </c>
      <c r="R39" s="31">
        <v>759.22</v>
      </c>
      <c r="S39" s="31">
        <v>759.22</v>
      </c>
      <c r="T39" s="31">
        <v>759.22</v>
      </c>
    </row>
    <row r="40" spans="2:23" x14ac:dyDescent="0.2">
      <c r="G40" t="s">
        <v>58</v>
      </c>
      <c r="I40" s="31">
        <f>+I36-I39</f>
        <v>-759.22</v>
      </c>
      <c r="J40" s="31">
        <f t="shared" ref="J40:T40" si="11">+J36-J39</f>
        <v>-690.19999999999959</v>
      </c>
      <c r="K40" s="31">
        <f t="shared" si="11"/>
        <v>-621.17999999999961</v>
      </c>
      <c r="L40" s="31">
        <f t="shared" si="11"/>
        <v>-380.23117999999999</v>
      </c>
      <c r="M40" s="31">
        <f t="shared" si="11"/>
        <v>-276.08000000000015</v>
      </c>
      <c r="N40" s="31">
        <f t="shared" si="11"/>
        <v>0</v>
      </c>
      <c r="O40" s="31">
        <f t="shared" si="11"/>
        <v>0</v>
      </c>
      <c r="P40" s="31">
        <f t="shared" si="11"/>
        <v>0</v>
      </c>
      <c r="Q40" s="31">
        <f t="shared" si="11"/>
        <v>0</v>
      </c>
      <c r="R40" s="31">
        <f t="shared" si="11"/>
        <v>0</v>
      </c>
      <c r="S40" s="31">
        <f t="shared" si="11"/>
        <v>0</v>
      </c>
      <c r="T40" s="31">
        <f t="shared" si="11"/>
        <v>0</v>
      </c>
    </row>
    <row r="41" spans="2:23" x14ac:dyDescent="0.2">
      <c r="B41" s="60" t="s">
        <v>50</v>
      </c>
      <c r="C41" s="61"/>
      <c r="D41" s="62"/>
      <c r="E41" s="20" t="e">
        <f>E39-E24</f>
        <v>#REF!</v>
      </c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</row>
    <row r="43" spans="2:23" x14ac:dyDescent="0.2">
      <c r="U43" t="s">
        <v>51</v>
      </c>
      <c r="W43" s="31">
        <f>+I24</f>
        <v>2001.58</v>
      </c>
    </row>
    <row r="44" spans="2:23" x14ac:dyDescent="0.2">
      <c r="U44" t="s">
        <v>52</v>
      </c>
      <c r="W44" s="31">
        <f>+T24</f>
        <v>1242.3599999999999</v>
      </c>
    </row>
    <row r="45" spans="2:23" x14ac:dyDescent="0.2">
      <c r="U45" s="40" t="s">
        <v>53</v>
      </c>
      <c r="V45" s="40"/>
      <c r="W45" s="38">
        <f>+W43-W44</f>
        <v>759.22</v>
      </c>
    </row>
    <row r="46" spans="2:23" x14ac:dyDescent="0.2">
      <c r="U46" t="s">
        <v>54</v>
      </c>
      <c r="W46" s="31">
        <f>+W45*12</f>
        <v>9110.64</v>
      </c>
    </row>
    <row r="47" spans="2:23" x14ac:dyDescent="0.2">
      <c r="U47" t="s">
        <v>55</v>
      </c>
      <c r="W47" s="31">
        <f>+V26</f>
        <v>2450.8203125000005</v>
      </c>
    </row>
    <row r="48" spans="2:23" x14ac:dyDescent="0.2">
      <c r="U48" t="s">
        <v>56</v>
      </c>
      <c r="W48" s="38">
        <f>+W46-W47</f>
        <v>6659.8196874999994</v>
      </c>
    </row>
  </sheetData>
  <mergeCells count="22">
    <mergeCell ref="G22:H22"/>
    <mergeCell ref="B2:H2"/>
    <mergeCell ref="B4:B5"/>
    <mergeCell ref="C4:C5"/>
    <mergeCell ref="D4:E4"/>
    <mergeCell ref="F4:G4"/>
    <mergeCell ref="G13:H13"/>
    <mergeCell ref="G14:H14"/>
    <mergeCell ref="G15:H15"/>
    <mergeCell ref="G16:H16"/>
    <mergeCell ref="G18:H18"/>
    <mergeCell ref="G21:H21"/>
    <mergeCell ref="G32:H32"/>
    <mergeCell ref="G34:H34"/>
    <mergeCell ref="G36:H36"/>
    <mergeCell ref="B41:D41"/>
    <mergeCell ref="G23:H23"/>
    <mergeCell ref="G24:H24"/>
    <mergeCell ref="G25:H25"/>
    <mergeCell ref="G26:H26"/>
    <mergeCell ref="G28:H28"/>
    <mergeCell ref="G30:H3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F5D2C2-3625-4260-8D1B-AED1B7D36484}">
  <dimension ref="B2:V42"/>
  <sheetViews>
    <sheetView topLeftCell="C21" workbookViewId="0">
      <selection activeCell="M41" sqref="M41"/>
    </sheetView>
  </sheetViews>
  <sheetFormatPr baseColWidth="10" defaultRowHeight="15" x14ac:dyDescent="0.2"/>
  <cols>
    <col min="2" max="2" width="28.5" bestFit="1" customWidth="1"/>
    <col min="4" max="4" width="14.33203125" bestFit="1" customWidth="1"/>
    <col min="7" max="7" width="13.83203125" customWidth="1"/>
    <col min="8" max="8" width="13.6640625" customWidth="1"/>
  </cols>
  <sheetData>
    <row r="2" spans="2:21" x14ac:dyDescent="0.2">
      <c r="B2" s="56" t="s">
        <v>0</v>
      </c>
      <c r="C2" s="69"/>
      <c r="D2" s="69"/>
      <c r="E2" s="69"/>
      <c r="F2" s="69"/>
      <c r="G2" s="69"/>
      <c r="H2" s="57"/>
    </row>
    <row r="4" spans="2:21" x14ac:dyDescent="0.2">
      <c r="B4" s="70" t="s">
        <v>1</v>
      </c>
      <c r="C4" s="72" t="s">
        <v>2</v>
      </c>
      <c r="D4" s="74" t="s">
        <v>3</v>
      </c>
      <c r="E4" s="75"/>
      <c r="F4" s="74" t="s">
        <v>4</v>
      </c>
      <c r="G4" s="75"/>
      <c r="H4" s="1" t="s">
        <v>5</v>
      </c>
    </row>
    <row r="5" spans="2:21" x14ac:dyDescent="0.2">
      <c r="B5" s="71"/>
      <c r="C5" s="73"/>
      <c r="D5" s="2" t="s">
        <v>6</v>
      </c>
      <c r="E5" s="1" t="s">
        <v>7</v>
      </c>
      <c r="F5" s="3">
        <v>0.35</v>
      </c>
      <c r="G5" s="3">
        <f>1-F5</f>
        <v>0.65</v>
      </c>
      <c r="H5" s="3">
        <f>F5+G5</f>
        <v>1</v>
      </c>
    </row>
    <row r="6" spans="2:21" x14ac:dyDescent="0.2">
      <c r="B6" s="4" t="s">
        <v>8</v>
      </c>
      <c r="C6" s="5">
        <v>395</v>
      </c>
      <c r="D6" s="6">
        <f>'[1]RESUMEN DE INV_1'!D17</f>
        <v>4</v>
      </c>
      <c r="E6" s="7">
        <f>AVERAGE('[1]RESUMEN DE INV_1'!E17:E18)</f>
        <v>49.6875</v>
      </c>
      <c r="F6" s="7">
        <f>(C6*D6)*F5</f>
        <v>553</v>
      </c>
      <c r="G6" s="8">
        <f>(C6*E6)*G5</f>
        <v>12757.265625</v>
      </c>
      <c r="H6" s="8">
        <f>F6+G6</f>
        <v>13310.265625</v>
      </c>
    </row>
    <row r="8" spans="2:21" x14ac:dyDescent="0.2">
      <c r="F8" s="9"/>
      <c r="G8" s="10" t="s">
        <v>9</v>
      </c>
      <c r="H8" s="11">
        <f>H6</f>
        <v>13310.265625</v>
      </c>
    </row>
    <row r="9" spans="2:21" x14ac:dyDescent="0.2">
      <c r="G9" s="12" t="s">
        <v>10</v>
      </c>
      <c r="H9" s="13">
        <v>0.18</v>
      </c>
    </row>
    <row r="10" spans="2:21" x14ac:dyDescent="0.2">
      <c r="G10" s="14"/>
      <c r="H10" s="15"/>
    </row>
    <row r="11" spans="2:21" x14ac:dyDescent="0.2">
      <c r="F11" s="9"/>
      <c r="G11" s="16" t="s">
        <v>11</v>
      </c>
      <c r="H11" s="17">
        <f>H8*H9</f>
        <v>2395.8478124999997</v>
      </c>
    </row>
    <row r="13" spans="2:21" x14ac:dyDescent="0.2">
      <c r="B13" s="1" t="s">
        <v>12</v>
      </c>
      <c r="G13" s="56" t="s">
        <v>13</v>
      </c>
      <c r="H13" s="57"/>
    </row>
    <row r="14" spans="2:21" x14ac:dyDescent="0.2">
      <c r="B14" s="1" t="s">
        <v>14</v>
      </c>
      <c r="C14" s="2" t="s">
        <v>15</v>
      </c>
      <c r="D14" s="2" t="s">
        <v>16</v>
      </c>
      <c r="E14" s="1" t="s">
        <v>17</v>
      </c>
      <c r="G14" s="56" t="s">
        <v>18</v>
      </c>
      <c r="H14" s="57"/>
      <c r="I14" s="2" t="s">
        <v>19</v>
      </c>
      <c r="J14" s="2" t="s">
        <v>20</v>
      </c>
      <c r="K14" s="2" t="s">
        <v>21</v>
      </c>
      <c r="L14" s="2" t="s">
        <v>22</v>
      </c>
      <c r="M14" s="2" t="s">
        <v>23</v>
      </c>
      <c r="N14" s="2" t="s">
        <v>24</v>
      </c>
      <c r="O14" s="18" t="s">
        <v>25</v>
      </c>
      <c r="P14" s="18" t="s">
        <v>26</v>
      </c>
      <c r="Q14" s="18" t="s">
        <v>27</v>
      </c>
      <c r="R14" s="18" t="s">
        <v>28</v>
      </c>
      <c r="S14" s="18" t="s">
        <v>29</v>
      </c>
      <c r="T14" s="18" t="s">
        <v>30</v>
      </c>
      <c r="U14" s="18" t="s">
        <v>19</v>
      </c>
    </row>
    <row r="15" spans="2:21" x14ac:dyDescent="0.2">
      <c r="B15" s="4" t="s">
        <v>31</v>
      </c>
      <c r="C15" s="7">
        <f>'[1]RESUMEN DE INV_1'!C65</f>
        <v>234.75</v>
      </c>
      <c r="D15" s="19">
        <v>1.2</v>
      </c>
      <c r="E15" s="20">
        <f>C15*D15</f>
        <v>281.7</v>
      </c>
      <c r="G15" s="76" t="s">
        <v>32</v>
      </c>
      <c r="H15" s="77"/>
      <c r="I15" s="21">
        <f>E39</f>
        <v>352.97999999999996</v>
      </c>
      <c r="J15" s="21">
        <f>I15</f>
        <v>352.97999999999996</v>
      </c>
      <c r="K15" s="21">
        <f t="shared" ref="K15:U16" si="0">J15</f>
        <v>352.97999999999996</v>
      </c>
      <c r="L15" s="21">
        <f t="shared" si="0"/>
        <v>352.97999999999996</v>
      </c>
      <c r="M15" s="21">
        <f t="shared" si="0"/>
        <v>352.97999999999996</v>
      </c>
      <c r="N15" s="21">
        <f t="shared" si="0"/>
        <v>352.97999999999996</v>
      </c>
      <c r="O15" s="21">
        <f t="shared" si="0"/>
        <v>352.97999999999996</v>
      </c>
      <c r="P15" s="21">
        <f t="shared" si="0"/>
        <v>352.97999999999996</v>
      </c>
      <c r="Q15" s="21">
        <f t="shared" si="0"/>
        <v>352.97999999999996</v>
      </c>
      <c r="R15" s="21">
        <f t="shared" si="0"/>
        <v>352.97999999999996</v>
      </c>
      <c r="S15" s="21">
        <f t="shared" si="0"/>
        <v>352.97999999999996</v>
      </c>
      <c r="T15" s="21">
        <f t="shared" si="0"/>
        <v>352.97999999999996</v>
      </c>
      <c r="U15" s="21">
        <f>T15</f>
        <v>352.97999999999996</v>
      </c>
    </row>
    <row r="16" spans="2:21" x14ac:dyDescent="0.2">
      <c r="B16" s="22" t="s">
        <v>33</v>
      </c>
      <c r="C16" s="23">
        <f>'[1]RESUMEN DE INV_1'!C66</f>
        <v>1256.75</v>
      </c>
      <c r="D16" s="24">
        <v>1.03</v>
      </c>
      <c r="E16" s="21">
        <f>C16*D16</f>
        <v>1294.4525000000001</v>
      </c>
      <c r="G16" s="65" t="s">
        <v>34</v>
      </c>
      <c r="H16" s="66"/>
      <c r="I16" s="21">
        <f>E24</f>
        <v>226.215</v>
      </c>
      <c r="J16" s="21">
        <f>I16</f>
        <v>226.215</v>
      </c>
      <c r="K16" s="21">
        <f t="shared" si="0"/>
        <v>226.215</v>
      </c>
      <c r="L16" s="21">
        <f t="shared" si="0"/>
        <v>226.215</v>
      </c>
      <c r="M16" s="21">
        <f t="shared" si="0"/>
        <v>226.215</v>
      </c>
      <c r="N16" s="21">
        <f t="shared" si="0"/>
        <v>226.215</v>
      </c>
      <c r="O16" s="21">
        <f t="shared" si="0"/>
        <v>226.215</v>
      </c>
      <c r="P16" s="21">
        <f t="shared" si="0"/>
        <v>226.215</v>
      </c>
      <c r="Q16" s="21">
        <f t="shared" si="0"/>
        <v>226.215</v>
      </c>
      <c r="R16" s="21">
        <f t="shared" si="0"/>
        <v>226.215</v>
      </c>
      <c r="S16" s="21">
        <f t="shared" si="0"/>
        <v>226.215</v>
      </c>
      <c r="T16" s="21">
        <f t="shared" si="0"/>
        <v>226.215</v>
      </c>
      <c r="U16" s="21">
        <f t="shared" si="0"/>
        <v>226.215</v>
      </c>
    </row>
    <row r="17" spans="2:22" x14ac:dyDescent="0.2">
      <c r="B17" s="22" t="s">
        <v>35</v>
      </c>
      <c r="C17" s="25">
        <f>H8</f>
        <v>13310.265625</v>
      </c>
      <c r="D17" s="26">
        <f>H9</f>
        <v>0.18</v>
      </c>
      <c r="E17" s="21">
        <f>C17*D17</f>
        <v>2395.8478124999997</v>
      </c>
      <c r="H17" s="15"/>
    </row>
    <row r="18" spans="2:22" x14ac:dyDescent="0.2">
      <c r="G18" s="58" t="s">
        <v>36</v>
      </c>
      <c r="H18" s="59"/>
      <c r="I18" s="27">
        <f>I15-I16</f>
        <v>126.76499999999996</v>
      </c>
      <c r="J18" s="27">
        <f t="shared" ref="J18:U18" si="1">J15-J16</f>
        <v>126.76499999999996</v>
      </c>
      <c r="K18" s="27">
        <f t="shared" si="1"/>
        <v>126.76499999999996</v>
      </c>
      <c r="L18" s="27">
        <f t="shared" si="1"/>
        <v>126.76499999999996</v>
      </c>
      <c r="M18" s="27">
        <f t="shared" si="1"/>
        <v>126.76499999999996</v>
      </c>
      <c r="N18" s="27">
        <f t="shared" si="1"/>
        <v>126.76499999999996</v>
      </c>
      <c r="O18" s="27">
        <f t="shared" si="1"/>
        <v>126.76499999999996</v>
      </c>
      <c r="P18" s="27">
        <f t="shared" si="1"/>
        <v>126.76499999999996</v>
      </c>
      <c r="Q18" s="27">
        <f t="shared" si="1"/>
        <v>126.76499999999996</v>
      </c>
      <c r="R18" s="27">
        <f t="shared" si="1"/>
        <v>126.76499999999996</v>
      </c>
      <c r="S18" s="27">
        <f t="shared" si="1"/>
        <v>126.76499999999996</v>
      </c>
      <c r="T18" s="27">
        <f t="shared" si="1"/>
        <v>126.76499999999996</v>
      </c>
      <c r="U18" s="27">
        <f t="shared" si="1"/>
        <v>126.76499999999996</v>
      </c>
    </row>
    <row r="19" spans="2:22" x14ac:dyDescent="0.2">
      <c r="D19" s="16" t="s">
        <v>37</v>
      </c>
      <c r="E19" s="17">
        <f>SUM(E15:E18)</f>
        <v>3972.0003124999998</v>
      </c>
      <c r="I19" s="78">
        <f>I18*30%</f>
        <v>38.029499999999985</v>
      </c>
    </row>
    <row r="20" spans="2:22" x14ac:dyDescent="0.2">
      <c r="D20" s="16" t="s">
        <v>38</v>
      </c>
      <c r="E20" s="17">
        <f>E19*12%</f>
        <v>476.64003749999995</v>
      </c>
    </row>
    <row r="21" spans="2:22" x14ac:dyDescent="0.2">
      <c r="D21" s="16" t="s">
        <v>11</v>
      </c>
      <c r="E21" s="17">
        <f>E19+E20</f>
        <v>4448.6403499999997</v>
      </c>
      <c r="G21" s="56" t="s">
        <v>39</v>
      </c>
      <c r="H21" s="57"/>
    </row>
    <row r="22" spans="2:22" x14ac:dyDescent="0.2">
      <c r="G22" s="56" t="s">
        <v>18</v>
      </c>
      <c r="H22" s="57"/>
      <c r="I22" s="2" t="s">
        <v>19</v>
      </c>
      <c r="J22" s="2" t="s">
        <v>20</v>
      </c>
      <c r="K22" s="2" t="s">
        <v>21</v>
      </c>
      <c r="L22" s="2" t="s">
        <v>22</v>
      </c>
      <c r="M22" s="2" t="s">
        <v>23</v>
      </c>
      <c r="N22" s="2" t="s">
        <v>24</v>
      </c>
      <c r="O22" s="18" t="s">
        <v>25</v>
      </c>
      <c r="P22" s="18" t="s">
        <v>26</v>
      </c>
      <c r="Q22" s="18" t="s">
        <v>27</v>
      </c>
      <c r="R22" s="18" t="s">
        <v>28</v>
      </c>
      <c r="S22" s="18" t="s">
        <v>29</v>
      </c>
      <c r="T22" s="18" t="s">
        <v>30</v>
      </c>
      <c r="U22" s="18" t="s">
        <v>19</v>
      </c>
    </row>
    <row r="23" spans="2:22" x14ac:dyDescent="0.2">
      <c r="B23" s="28" t="s">
        <v>14</v>
      </c>
      <c r="C23" s="2" t="s">
        <v>15</v>
      </c>
      <c r="D23" s="2" t="s">
        <v>16</v>
      </c>
      <c r="E23" s="1" t="s">
        <v>17</v>
      </c>
      <c r="G23" s="63" t="s">
        <v>40</v>
      </c>
      <c r="H23" s="64"/>
      <c r="I23" s="27">
        <v>0.28999999999999998</v>
      </c>
      <c r="J23" s="27">
        <f>I23-0.01</f>
        <v>0.27999999999999997</v>
      </c>
      <c r="K23" s="27">
        <f t="shared" ref="K23:T23" si="2">J23-0.01</f>
        <v>0.26999999999999996</v>
      </c>
      <c r="L23" s="27">
        <f t="shared" si="2"/>
        <v>0.25999999999999995</v>
      </c>
      <c r="M23" s="27">
        <f t="shared" si="2"/>
        <v>0.24999999999999994</v>
      </c>
      <c r="N23" s="27">
        <f t="shared" si="2"/>
        <v>0.23999999999999994</v>
      </c>
      <c r="O23" s="27">
        <f t="shared" si="2"/>
        <v>0.22999999999999993</v>
      </c>
      <c r="P23" s="27">
        <f t="shared" si="2"/>
        <v>0.21999999999999992</v>
      </c>
      <c r="Q23" s="27">
        <f t="shared" si="2"/>
        <v>0.20999999999999991</v>
      </c>
      <c r="R23" s="27">
        <f t="shared" si="2"/>
        <v>0.1999999999999999</v>
      </c>
      <c r="S23" s="27">
        <f t="shared" si="2"/>
        <v>0.18999999999999989</v>
      </c>
      <c r="T23" s="27">
        <f t="shared" si="2"/>
        <v>0.17999999999999988</v>
      </c>
      <c r="U23" s="27">
        <f>T23</f>
        <v>0.17999999999999988</v>
      </c>
    </row>
    <row r="24" spans="2:22" x14ac:dyDescent="0.2">
      <c r="B24" s="22" t="s">
        <v>41</v>
      </c>
      <c r="C24" s="29">
        <f>C16</f>
        <v>1256.75</v>
      </c>
      <c r="D24" s="30">
        <f>D17</f>
        <v>0.18</v>
      </c>
      <c r="E24" s="20">
        <f>C24*D24</f>
        <v>226.215</v>
      </c>
      <c r="G24" s="65" t="s">
        <v>42</v>
      </c>
      <c r="H24" s="66"/>
      <c r="I24" s="21">
        <f>$C$31*I23</f>
        <v>2001.58</v>
      </c>
      <c r="J24" s="21">
        <f t="shared" ref="J24:T24" si="3">$C$31*J23</f>
        <v>1932.5599999999997</v>
      </c>
      <c r="K24" s="21">
        <f t="shared" si="3"/>
        <v>1863.5399999999997</v>
      </c>
      <c r="L24" s="21">
        <f t="shared" si="3"/>
        <v>1794.5199999999998</v>
      </c>
      <c r="M24" s="21">
        <f t="shared" si="3"/>
        <v>1725.4999999999995</v>
      </c>
      <c r="N24" s="21">
        <f t="shared" si="3"/>
        <v>1656.4799999999996</v>
      </c>
      <c r="O24" s="21">
        <f t="shared" si="3"/>
        <v>1587.4599999999996</v>
      </c>
      <c r="P24" s="21">
        <f t="shared" si="3"/>
        <v>1518.4399999999994</v>
      </c>
      <c r="Q24" s="21">
        <f t="shared" si="3"/>
        <v>1449.4199999999994</v>
      </c>
      <c r="R24" s="21">
        <f t="shared" si="3"/>
        <v>1380.3999999999994</v>
      </c>
      <c r="S24" s="21">
        <f t="shared" si="3"/>
        <v>1311.3799999999992</v>
      </c>
      <c r="T24" s="21">
        <f t="shared" si="3"/>
        <v>1242.3599999999992</v>
      </c>
      <c r="U24" s="21">
        <f t="shared" ref="U24" si="4">T24</f>
        <v>1242.3599999999992</v>
      </c>
      <c r="V24" s="31"/>
    </row>
    <row r="25" spans="2:22" x14ac:dyDescent="0.2">
      <c r="C25" s="32"/>
      <c r="D25" s="31"/>
      <c r="E25" s="31"/>
      <c r="G25" s="67" t="s">
        <v>43</v>
      </c>
      <c r="H25" s="68"/>
      <c r="I25" s="27">
        <f>$E$19/12</f>
        <v>331.00002604166667</v>
      </c>
      <c r="J25" s="27">
        <f t="shared" ref="J25:T25" si="5">$E$19/12</f>
        <v>331.00002604166667</v>
      </c>
      <c r="K25" s="27">
        <f t="shared" si="5"/>
        <v>331.00002604166667</v>
      </c>
      <c r="L25" s="27">
        <f t="shared" si="5"/>
        <v>331.00002604166667</v>
      </c>
      <c r="M25" s="27">
        <f t="shared" si="5"/>
        <v>331.00002604166667</v>
      </c>
      <c r="N25" s="27">
        <f t="shared" si="5"/>
        <v>331.00002604166667</v>
      </c>
      <c r="O25" s="27">
        <f t="shared" si="5"/>
        <v>331.00002604166667</v>
      </c>
      <c r="P25" s="27">
        <f t="shared" si="5"/>
        <v>331.00002604166667</v>
      </c>
      <c r="Q25" s="27">
        <f t="shared" si="5"/>
        <v>331.00002604166667</v>
      </c>
      <c r="R25" s="27">
        <f t="shared" si="5"/>
        <v>331.00002604166667</v>
      </c>
      <c r="S25" s="27">
        <f t="shared" si="5"/>
        <v>331.00002604166667</v>
      </c>
      <c r="T25" s="27">
        <f t="shared" si="5"/>
        <v>331.00002604166667</v>
      </c>
      <c r="U25" s="27">
        <v>331</v>
      </c>
    </row>
    <row r="26" spans="2:22" x14ac:dyDescent="0.2">
      <c r="D26" s="16" t="s">
        <v>37</v>
      </c>
      <c r="E26" s="17">
        <f>SUM(E23:E24)</f>
        <v>226.215</v>
      </c>
      <c r="G26" s="65" t="s">
        <v>36</v>
      </c>
      <c r="H26" s="66"/>
      <c r="I26" s="21">
        <f>I25-I18</f>
        <v>204.23502604166671</v>
      </c>
      <c r="J26" s="21">
        <f t="shared" ref="J26:U26" si="6">J25-J18</f>
        <v>204.23502604166671</v>
      </c>
      <c r="K26" s="21">
        <f t="shared" si="6"/>
        <v>204.23502604166671</v>
      </c>
      <c r="L26" s="21">
        <f t="shared" si="6"/>
        <v>204.23502604166671</v>
      </c>
      <c r="M26" s="21">
        <f t="shared" si="6"/>
        <v>204.23502604166671</v>
      </c>
      <c r="N26" s="21">
        <f t="shared" si="6"/>
        <v>204.23502604166671</v>
      </c>
      <c r="O26" s="21">
        <f t="shared" si="6"/>
        <v>204.23502604166671</v>
      </c>
      <c r="P26" s="21">
        <f t="shared" si="6"/>
        <v>204.23502604166671</v>
      </c>
      <c r="Q26" s="21">
        <f t="shared" si="6"/>
        <v>204.23502604166671</v>
      </c>
      <c r="R26" s="21">
        <f t="shared" si="6"/>
        <v>204.23502604166671</v>
      </c>
      <c r="S26" s="21">
        <f t="shared" si="6"/>
        <v>204.23502604166671</v>
      </c>
      <c r="T26" s="21">
        <f t="shared" si="6"/>
        <v>204.23502604166671</v>
      </c>
      <c r="U26" s="21">
        <f t="shared" si="6"/>
        <v>204.23500000000004</v>
      </c>
    </row>
    <row r="27" spans="2:22" x14ac:dyDescent="0.2">
      <c r="D27" s="16" t="s">
        <v>38</v>
      </c>
      <c r="E27" s="17">
        <f>E26*12%</f>
        <v>27.145799999999998</v>
      </c>
    </row>
    <row r="28" spans="2:22" x14ac:dyDescent="0.2">
      <c r="D28" s="16" t="s">
        <v>11</v>
      </c>
      <c r="E28" s="17">
        <f>E26+E27</f>
        <v>253.36080000000001</v>
      </c>
      <c r="G28" s="56" t="s">
        <v>44</v>
      </c>
      <c r="H28" s="57"/>
      <c r="I28" s="33">
        <f t="shared" ref="I28:U28" si="7">I24+I26</f>
        <v>2205.8150260416664</v>
      </c>
      <c r="J28" s="33">
        <f t="shared" si="7"/>
        <v>2136.7950260416665</v>
      </c>
      <c r="K28" s="33">
        <f t="shared" si="7"/>
        <v>2067.7750260416665</v>
      </c>
      <c r="L28" s="33">
        <f t="shared" si="7"/>
        <v>1998.7550260416665</v>
      </c>
      <c r="M28" s="33">
        <f t="shared" si="7"/>
        <v>1929.7350260416663</v>
      </c>
      <c r="N28" s="33">
        <f t="shared" si="7"/>
        <v>1860.7150260416663</v>
      </c>
      <c r="O28" s="33">
        <f t="shared" si="7"/>
        <v>1791.6950260416663</v>
      </c>
      <c r="P28" s="33">
        <f t="shared" si="7"/>
        <v>1722.6750260416661</v>
      </c>
      <c r="Q28" s="33">
        <f t="shared" si="7"/>
        <v>1653.6550260416661</v>
      </c>
      <c r="R28" s="33">
        <f t="shared" si="7"/>
        <v>1584.6350260416662</v>
      </c>
      <c r="S28" s="33">
        <f t="shared" si="7"/>
        <v>1515.6150260416659</v>
      </c>
      <c r="T28" s="33">
        <f t="shared" si="7"/>
        <v>1446.595026041666</v>
      </c>
      <c r="U28" s="33">
        <f t="shared" si="7"/>
        <v>1446.5949999999993</v>
      </c>
    </row>
    <row r="30" spans="2:22" x14ac:dyDescent="0.2">
      <c r="B30" s="2" t="s">
        <v>14</v>
      </c>
      <c r="C30" s="2" t="s">
        <v>15</v>
      </c>
      <c r="D30" s="2" t="s">
        <v>16</v>
      </c>
      <c r="E30" s="1" t="s">
        <v>17</v>
      </c>
      <c r="G30" s="56" t="s">
        <v>45</v>
      </c>
      <c r="H30" s="57"/>
      <c r="I30" s="33">
        <f>I15</f>
        <v>352.97999999999996</v>
      </c>
      <c r="J30" s="33">
        <f t="shared" ref="J30:U30" si="8">J15</f>
        <v>352.97999999999996</v>
      </c>
      <c r="K30" s="33">
        <f t="shared" si="8"/>
        <v>352.97999999999996</v>
      </c>
      <c r="L30" s="33">
        <f t="shared" si="8"/>
        <v>352.97999999999996</v>
      </c>
      <c r="M30" s="33">
        <f t="shared" si="8"/>
        <v>352.97999999999996</v>
      </c>
      <c r="N30" s="33">
        <f t="shared" si="8"/>
        <v>352.97999999999996</v>
      </c>
      <c r="O30" s="33">
        <f t="shared" si="8"/>
        <v>352.97999999999996</v>
      </c>
      <c r="P30" s="33">
        <f t="shared" si="8"/>
        <v>352.97999999999996</v>
      </c>
      <c r="Q30" s="33">
        <f t="shared" si="8"/>
        <v>352.97999999999996</v>
      </c>
      <c r="R30" s="33">
        <f t="shared" si="8"/>
        <v>352.97999999999996</v>
      </c>
      <c r="S30" s="33">
        <f t="shared" si="8"/>
        <v>352.97999999999996</v>
      </c>
      <c r="T30" s="33">
        <f t="shared" si="8"/>
        <v>352.97999999999996</v>
      </c>
      <c r="U30" s="33">
        <f t="shared" si="8"/>
        <v>352.97999999999996</v>
      </c>
    </row>
    <row r="31" spans="2:22" x14ac:dyDescent="0.2">
      <c r="B31" s="34" t="s">
        <v>46</v>
      </c>
      <c r="C31" s="7">
        <v>6902</v>
      </c>
      <c r="D31" s="19">
        <v>0.28999999999999998</v>
      </c>
      <c r="E31" s="35">
        <f>C31*D31</f>
        <v>2001.58</v>
      </c>
    </row>
    <row r="32" spans="2:22" x14ac:dyDescent="0.2">
      <c r="G32" s="56" t="s">
        <v>47</v>
      </c>
      <c r="H32" s="57"/>
      <c r="I32" s="36">
        <f>I28+I30</f>
        <v>2558.7950260416665</v>
      </c>
      <c r="J32" s="36">
        <f t="shared" ref="J32:U32" si="9">J28+J30</f>
        <v>2489.7750260416665</v>
      </c>
      <c r="K32" s="36">
        <f t="shared" si="9"/>
        <v>2420.7550260416665</v>
      </c>
      <c r="L32" s="36">
        <f t="shared" si="9"/>
        <v>2351.7350260416665</v>
      </c>
      <c r="M32" s="36">
        <f t="shared" si="9"/>
        <v>2282.7150260416661</v>
      </c>
      <c r="N32" s="36">
        <f t="shared" si="9"/>
        <v>2213.6950260416661</v>
      </c>
      <c r="O32" s="36">
        <f t="shared" si="9"/>
        <v>2144.6750260416661</v>
      </c>
      <c r="P32" s="36">
        <f t="shared" si="9"/>
        <v>2075.6550260416661</v>
      </c>
      <c r="Q32" s="36">
        <f t="shared" si="9"/>
        <v>2006.6350260416662</v>
      </c>
      <c r="R32" s="36">
        <f t="shared" si="9"/>
        <v>1937.6150260416662</v>
      </c>
      <c r="S32" s="36">
        <f t="shared" si="9"/>
        <v>1868.595026041666</v>
      </c>
      <c r="T32" s="36">
        <f t="shared" si="9"/>
        <v>1799.575026041666</v>
      </c>
      <c r="U32" s="36">
        <f t="shared" si="9"/>
        <v>1799.5749999999994</v>
      </c>
    </row>
    <row r="33" spans="2:21" x14ac:dyDescent="0.2">
      <c r="D33" s="16" t="s">
        <v>37</v>
      </c>
      <c r="E33" s="17">
        <f>SUM(E31:E32)</f>
        <v>2001.58</v>
      </c>
    </row>
    <row r="34" spans="2:21" x14ac:dyDescent="0.2">
      <c r="D34" s="16" t="s">
        <v>38</v>
      </c>
      <c r="E34" s="17">
        <f>E33*12%</f>
        <v>240.18959999999998</v>
      </c>
      <c r="G34" s="56" t="s">
        <v>48</v>
      </c>
      <c r="H34" s="57"/>
      <c r="I34" s="33">
        <f>E31+E39</f>
        <v>2354.56</v>
      </c>
      <c r="J34" s="33">
        <f>I34</f>
        <v>2354.56</v>
      </c>
      <c r="K34" s="33">
        <f t="shared" ref="K34:U34" si="10">J34</f>
        <v>2354.56</v>
      </c>
      <c r="L34" s="33">
        <f t="shared" si="10"/>
        <v>2354.56</v>
      </c>
      <c r="M34" s="33">
        <f t="shared" si="10"/>
        <v>2354.56</v>
      </c>
      <c r="N34" s="33">
        <f t="shared" si="10"/>
        <v>2354.56</v>
      </c>
      <c r="O34" s="33">
        <f t="shared" si="10"/>
        <v>2354.56</v>
      </c>
      <c r="P34" s="33">
        <f t="shared" si="10"/>
        <v>2354.56</v>
      </c>
      <c r="Q34" s="33">
        <f t="shared" si="10"/>
        <v>2354.56</v>
      </c>
      <c r="R34" s="33">
        <f t="shared" si="10"/>
        <v>2354.56</v>
      </c>
      <c r="S34" s="33">
        <f t="shared" si="10"/>
        <v>2354.56</v>
      </c>
      <c r="T34" s="33">
        <f t="shared" si="10"/>
        <v>2354.56</v>
      </c>
      <c r="U34" s="33">
        <f t="shared" si="10"/>
        <v>2354.56</v>
      </c>
    </row>
    <row r="35" spans="2:21" x14ac:dyDescent="0.2">
      <c r="D35" s="16" t="s">
        <v>11</v>
      </c>
      <c r="E35" s="17">
        <f>E33+E34</f>
        <v>2241.7696000000001</v>
      </c>
    </row>
    <row r="36" spans="2:21" x14ac:dyDescent="0.2">
      <c r="G36" s="58" t="s">
        <v>49</v>
      </c>
      <c r="H36" s="59"/>
      <c r="I36" s="37">
        <f>I34-I32</f>
        <v>-204.23502604166652</v>
      </c>
      <c r="J36" s="37">
        <f t="shared" ref="J36:U36" si="11">J34-J32</f>
        <v>-135.21502604166653</v>
      </c>
      <c r="K36" s="37">
        <f t="shared" si="11"/>
        <v>-66.195026041666551</v>
      </c>
      <c r="L36" s="37">
        <f t="shared" si="11"/>
        <v>2.8249739583334303</v>
      </c>
      <c r="M36" s="37">
        <f t="shared" si="11"/>
        <v>71.844973958333867</v>
      </c>
      <c r="N36" s="37">
        <f t="shared" si="11"/>
        <v>140.86497395833385</v>
      </c>
      <c r="O36" s="37">
        <f t="shared" si="11"/>
        <v>209.88497395833383</v>
      </c>
      <c r="P36" s="37">
        <f t="shared" si="11"/>
        <v>278.90497395833381</v>
      </c>
      <c r="Q36" s="37">
        <f t="shared" si="11"/>
        <v>347.92497395833379</v>
      </c>
      <c r="R36" s="37">
        <f t="shared" si="11"/>
        <v>416.94497395833378</v>
      </c>
      <c r="S36" s="37">
        <f t="shared" si="11"/>
        <v>485.96497395833399</v>
      </c>
      <c r="T36" s="37">
        <f t="shared" si="11"/>
        <v>554.98497395833397</v>
      </c>
      <c r="U36" s="37">
        <f t="shared" si="11"/>
        <v>554.98500000000058</v>
      </c>
    </row>
    <row r="38" spans="2:21" x14ac:dyDescent="0.2">
      <c r="B38" s="28" t="s">
        <v>14</v>
      </c>
      <c r="C38" s="2" t="s">
        <v>15</v>
      </c>
      <c r="D38" s="2" t="s">
        <v>16</v>
      </c>
      <c r="E38" s="1" t="s">
        <v>17</v>
      </c>
    </row>
    <row r="39" spans="2:21" x14ac:dyDescent="0.2">
      <c r="B39" s="22" t="s">
        <v>41</v>
      </c>
      <c r="C39" s="29">
        <f>GETPIVOTDATA("NUMERO DE CAJA",'[1]RESUMEN DE INV_1'!$B$6)</f>
        <v>1961</v>
      </c>
      <c r="D39" s="30">
        <f>D24</f>
        <v>0.18</v>
      </c>
      <c r="E39" s="20">
        <f>C39*D39</f>
        <v>352.97999999999996</v>
      </c>
    </row>
    <row r="41" spans="2:21" x14ac:dyDescent="0.2">
      <c r="B41" s="60" t="s">
        <v>50</v>
      </c>
      <c r="C41" s="61"/>
      <c r="D41" s="62"/>
      <c r="E41" s="20">
        <f>E39-E24</f>
        <v>126.76499999999996</v>
      </c>
      <c r="I41" s="78">
        <f>I26*30%</f>
        <v>61.270507812500014</v>
      </c>
    </row>
    <row r="42" spans="2:21" x14ac:dyDescent="0.2">
      <c r="I42" s="78">
        <f>I41*90%</f>
        <v>55.143457031250016</v>
      </c>
    </row>
  </sheetData>
  <mergeCells count="22">
    <mergeCell ref="G32:H32"/>
    <mergeCell ref="G34:H34"/>
    <mergeCell ref="G36:H36"/>
    <mergeCell ref="B41:D41"/>
    <mergeCell ref="G23:H23"/>
    <mergeCell ref="G24:H24"/>
    <mergeCell ref="G25:H25"/>
    <mergeCell ref="G26:H26"/>
    <mergeCell ref="G28:H28"/>
    <mergeCell ref="G30:H30"/>
    <mergeCell ref="G22:H22"/>
    <mergeCell ref="B2:H2"/>
    <mergeCell ref="B4:B5"/>
    <mergeCell ref="C4:C5"/>
    <mergeCell ref="D4:E4"/>
    <mergeCell ref="F4:G4"/>
    <mergeCell ref="G13:H13"/>
    <mergeCell ref="G14:H14"/>
    <mergeCell ref="G15:H15"/>
    <mergeCell ref="G16:H16"/>
    <mergeCell ref="G18:H18"/>
    <mergeCell ref="G21:H2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883FB1-DBAD-4902-912C-11C7E7F40F59}">
  <dimension ref="B2:G26"/>
  <sheetViews>
    <sheetView topLeftCell="A13" workbookViewId="0">
      <selection activeCell="L19" sqref="L19"/>
    </sheetView>
  </sheetViews>
  <sheetFormatPr baseColWidth="10" defaultRowHeight="15" x14ac:dyDescent="0.2"/>
  <cols>
    <col min="2" max="2" width="11.5" style="51"/>
    <col min="3" max="3" width="19.1640625" bestFit="1" customWidth="1"/>
    <col min="4" max="4" width="14.5" bestFit="1" customWidth="1"/>
  </cols>
  <sheetData>
    <row r="2" spans="2:7" x14ac:dyDescent="0.2">
      <c r="C2" t="s">
        <v>64</v>
      </c>
    </row>
    <row r="4" spans="2:7" x14ac:dyDescent="0.2">
      <c r="C4" s="41" t="s">
        <v>59</v>
      </c>
      <c r="D4" s="42"/>
      <c r="E4" s="42"/>
      <c r="F4" s="42"/>
    </row>
    <row r="5" spans="2:7" x14ac:dyDescent="0.2">
      <c r="B5" s="52"/>
      <c r="C5" s="41" t="s">
        <v>18</v>
      </c>
      <c r="D5" s="41" t="s">
        <v>60</v>
      </c>
      <c r="E5" s="41" t="s">
        <v>61</v>
      </c>
      <c r="F5" s="41" t="s">
        <v>11</v>
      </c>
    </row>
    <row r="6" spans="2:7" x14ac:dyDescent="0.2">
      <c r="B6" s="53"/>
      <c r="C6" s="46" t="s">
        <v>62</v>
      </c>
      <c r="D6" s="44">
        <v>0.27</v>
      </c>
      <c r="E6" s="45">
        <v>6529</v>
      </c>
      <c r="F6" s="44">
        <f>E6*D6</f>
        <v>1762.8300000000002</v>
      </c>
    </row>
    <row r="7" spans="2:7" x14ac:dyDescent="0.2">
      <c r="B7" s="54"/>
      <c r="C7" s="46" t="s">
        <v>63</v>
      </c>
      <c r="D7" s="47">
        <v>0.1171</v>
      </c>
      <c r="E7" s="43">
        <v>0</v>
      </c>
      <c r="F7" s="44">
        <f t="shared" ref="F7" si="0">E7*D7</f>
        <v>0</v>
      </c>
    </row>
    <row r="8" spans="2:7" x14ac:dyDescent="0.2">
      <c r="B8" s="54"/>
      <c r="C8" s="42"/>
      <c r="D8" s="42"/>
      <c r="E8" s="42"/>
      <c r="F8" s="42"/>
    </row>
    <row r="9" spans="2:7" x14ac:dyDescent="0.2">
      <c r="B9" s="54"/>
      <c r="C9" s="42"/>
      <c r="D9" s="42"/>
      <c r="E9" s="48" t="s">
        <v>37</v>
      </c>
      <c r="F9" s="44">
        <f>SUM(F6:F8)</f>
        <v>1762.8300000000002</v>
      </c>
    </row>
    <row r="10" spans="2:7" x14ac:dyDescent="0.2">
      <c r="B10" s="54"/>
      <c r="C10" s="42"/>
      <c r="D10" s="49">
        <v>0.12</v>
      </c>
      <c r="E10" s="48" t="s">
        <v>38</v>
      </c>
      <c r="F10" s="44">
        <f>F9*D10</f>
        <v>211.53960000000001</v>
      </c>
    </row>
    <row r="11" spans="2:7" x14ac:dyDescent="0.2">
      <c r="B11" s="54"/>
      <c r="C11" s="42"/>
      <c r="D11" s="42"/>
      <c r="E11" s="41" t="s">
        <v>11</v>
      </c>
      <c r="F11" s="50">
        <f>SUM(F9:F10)</f>
        <v>1974.3696000000002</v>
      </c>
    </row>
    <row r="12" spans="2:7" x14ac:dyDescent="0.2">
      <c r="B12" s="54"/>
      <c r="C12" s="42"/>
      <c r="D12" s="42"/>
      <c r="E12" s="52"/>
      <c r="F12" s="55"/>
    </row>
    <row r="13" spans="2:7" x14ac:dyDescent="0.2">
      <c r="B13" s="54"/>
      <c r="C13" s="42"/>
      <c r="D13" s="42"/>
      <c r="E13" s="52"/>
      <c r="F13" s="55"/>
    </row>
    <row r="14" spans="2:7" x14ac:dyDescent="0.2">
      <c r="C14" t="s">
        <v>65</v>
      </c>
      <c r="G14" s="31">
        <f>F9+F24</f>
        <v>2765.9700000000003</v>
      </c>
    </row>
    <row r="16" spans="2:7" x14ac:dyDescent="0.2">
      <c r="C16" s="41" t="s">
        <v>59</v>
      </c>
      <c r="D16" s="42"/>
      <c r="E16" s="42"/>
      <c r="F16" s="42"/>
    </row>
    <row r="17" spans="3:6" x14ac:dyDescent="0.2">
      <c r="C17" s="41" t="s">
        <v>18</v>
      </c>
      <c r="D17" s="41" t="s">
        <v>60</v>
      </c>
      <c r="E17" s="41" t="s">
        <v>61</v>
      </c>
      <c r="F17" s="41" t="s">
        <v>11</v>
      </c>
    </row>
    <row r="18" spans="3:6" x14ac:dyDescent="0.2">
      <c r="C18" s="46" t="s">
        <v>62</v>
      </c>
      <c r="D18" s="44">
        <v>0.18</v>
      </c>
      <c r="E18" s="45">
        <v>1961</v>
      </c>
      <c r="F18" s="44">
        <f>E18*D18</f>
        <v>352.97999999999996</v>
      </c>
    </row>
    <row r="19" spans="3:6" x14ac:dyDescent="0.2">
      <c r="C19" s="46" t="s">
        <v>31</v>
      </c>
      <c r="D19" s="44">
        <v>1.2</v>
      </c>
      <c r="E19" s="45">
        <v>242</v>
      </c>
      <c r="F19" s="44">
        <f t="shared" ref="F19:F22" si="1">E19*D19</f>
        <v>290.39999999999998</v>
      </c>
    </row>
    <row r="20" spans="3:6" x14ac:dyDescent="0.2">
      <c r="C20" s="46" t="s">
        <v>33</v>
      </c>
      <c r="D20" s="44">
        <v>1.03</v>
      </c>
      <c r="E20" s="45">
        <v>192</v>
      </c>
      <c r="F20" s="44">
        <f t="shared" si="1"/>
        <v>197.76</v>
      </c>
    </row>
    <row r="21" spans="3:6" x14ac:dyDescent="0.2">
      <c r="C21" s="46" t="s">
        <v>66</v>
      </c>
      <c r="D21" s="44">
        <v>0.18</v>
      </c>
      <c r="E21" s="45">
        <v>900</v>
      </c>
      <c r="F21" s="44">
        <f t="shared" si="1"/>
        <v>162</v>
      </c>
    </row>
    <row r="22" spans="3:6" x14ac:dyDescent="0.2">
      <c r="C22" s="46" t="s">
        <v>67</v>
      </c>
      <c r="D22" s="47">
        <v>0</v>
      </c>
      <c r="E22" s="43">
        <v>242</v>
      </c>
      <c r="F22" s="44">
        <f t="shared" si="1"/>
        <v>0</v>
      </c>
    </row>
    <row r="23" spans="3:6" x14ac:dyDescent="0.2">
      <c r="C23" s="42"/>
      <c r="D23" s="42"/>
      <c r="E23" s="42"/>
      <c r="F23" s="42"/>
    </row>
    <row r="24" spans="3:6" x14ac:dyDescent="0.2">
      <c r="C24" s="42"/>
      <c r="D24" s="42"/>
      <c r="E24" s="48" t="s">
        <v>37</v>
      </c>
      <c r="F24" s="44">
        <f>SUM(F18:F23)</f>
        <v>1003.1399999999999</v>
      </c>
    </row>
    <row r="25" spans="3:6" x14ac:dyDescent="0.2">
      <c r="C25" s="42"/>
      <c r="D25" s="49">
        <v>0.12</v>
      </c>
      <c r="E25" s="48" t="s">
        <v>38</v>
      </c>
      <c r="F25" s="44">
        <f>F24*D25</f>
        <v>120.37679999999997</v>
      </c>
    </row>
    <row r="26" spans="3:6" x14ac:dyDescent="0.2">
      <c r="C26" s="42"/>
      <c r="D26" s="42"/>
      <c r="E26" s="41" t="s">
        <v>11</v>
      </c>
      <c r="F26" s="50">
        <f>SUM(F24:F25)</f>
        <v>1123.5167999999999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Flujo de Pagos_1Y (2)</vt:lpstr>
      <vt:lpstr>Flujo de Pagos_1Y</vt:lpstr>
      <vt:lpstr>facturacion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JefeComercial</dc:creator>
  <cp:lastModifiedBy>Jose Ortega</cp:lastModifiedBy>
  <dcterms:created xsi:type="dcterms:W3CDTF">2020-07-28T15:07:07Z</dcterms:created>
  <dcterms:modified xsi:type="dcterms:W3CDTF">2021-01-07T13:32:13Z</dcterms:modified>
</cp:coreProperties>
</file>