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fecomercial\OneDrive\Documentos\Data Solutions\Jefatura Comercial\Documentación Importante\Contratos\Contratos Clientes\Cliente GYE\AJEcuador\"/>
    </mc:Choice>
  </mc:AlternateContent>
  <xr:revisionPtr revIDLastSave="0" documentId="13_ncr:1_{6BB92699-3D44-438B-A4E5-8850A29EC6D1}" xr6:coauthVersionLast="45" xr6:coauthVersionMax="45" xr10:uidLastSave="{00000000-0000-0000-0000-000000000000}"/>
  <bookViews>
    <workbookView xWindow="-120" yWindow="-120" windowWidth="20730" windowHeight="11310" activeTab="1" xr2:uid="{20497D6A-6FC6-4272-BA95-0A5E112D5B94}"/>
  </bookViews>
  <sheets>
    <sheet name="Flujo" sheetId="4" r:id="rId1"/>
    <sheet name="Facturaciòn Mensual " sheetId="5" r:id="rId2"/>
    <sheet name="Analisis de Costos" sheetId="1" state="hidden" r:id="rId3"/>
    <sheet name="AJEcuador Destrucción" sheetId="3" state="hidden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2" i="5" l="1"/>
  <c r="N22" i="5" s="1"/>
  <c r="A21" i="5"/>
  <c r="A19" i="5"/>
  <c r="N19" i="5" s="1"/>
  <c r="A18" i="5"/>
  <c r="A17" i="5"/>
  <c r="A10" i="5"/>
  <c r="N10" i="5" s="1"/>
  <c r="A9" i="5"/>
  <c r="A7" i="5"/>
  <c r="N7" i="5" s="1"/>
  <c r="A6" i="5"/>
  <c r="A5" i="5"/>
  <c r="N5" i="5" s="1"/>
  <c r="N24" i="5"/>
  <c r="L24" i="5"/>
  <c r="J24" i="5"/>
  <c r="H24" i="5"/>
  <c r="F24" i="5"/>
  <c r="D24" i="5"/>
  <c r="A23" i="5"/>
  <c r="D20" i="5"/>
  <c r="M18" i="5"/>
  <c r="N18" i="5" s="1"/>
  <c r="K18" i="5"/>
  <c r="L18" i="5" s="1"/>
  <c r="N17" i="5"/>
  <c r="L17" i="5"/>
  <c r="J17" i="5"/>
  <c r="H17" i="5"/>
  <c r="F17" i="5"/>
  <c r="N12" i="5"/>
  <c r="L12" i="5"/>
  <c r="J12" i="5"/>
  <c r="J5" i="5"/>
  <c r="H12" i="5"/>
  <c r="F12" i="5"/>
  <c r="D12" i="5"/>
  <c r="A11" i="5"/>
  <c r="D11" i="5" s="1"/>
  <c r="F5" i="5" l="1"/>
  <c r="L5" i="5"/>
  <c r="J11" i="5"/>
  <c r="L11" i="5"/>
  <c r="N11" i="5"/>
  <c r="J10" i="5"/>
  <c r="L10" i="5"/>
  <c r="F10" i="5"/>
  <c r="H7" i="5"/>
  <c r="J7" i="5"/>
  <c r="L7" i="5"/>
  <c r="E20" i="5"/>
  <c r="D22" i="5"/>
  <c r="F19" i="5"/>
  <c r="F22" i="5"/>
  <c r="H19" i="5"/>
  <c r="H22" i="5"/>
  <c r="D19" i="5"/>
  <c r="D17" i="5"/>
  <c r="L19" i="5"/>
  <c r="L22" i="5"/>
  <c r="J19" i="5"/>
  <c r="J22" i="5"/>
  <c r="H5" i="5"/>
  <c r="H10" i="5"/>
  <c r="D5" i="5"/>
  <c r="H11" i="5"/>
  <c r="D10" i="5"/>
  <c r="F11" i="5"/>
  <c r="D7" i="5"/>
  <c r="F7" i="5"/>
  <c r="G20" i="5" l="1"/>
  <c r="F20" i="5"/>
  <c r="H20" i="5" l="1"/>
  <c r="I20" i="5"/>
  <c r="D14" i="1"/>
  <c r="C8" i="4"/>
  <c r="C14" i="4"/>
  <c r="J20" i="5" l="1"/>
  <c r="K20" i="5"/>
  <c r="E14" i="3"/>
  <c r="C11" i="3"/>
  <c r="L9" i="3"/>
  <c r="O8" i="3"/>
  <c r="N8" i="3"/>
  <c r="M8" i="3"/>
  <c r="M7" i="3"/>
  <c r="N7" i="3" s="1"/>
  <c r="O7" i="3" s="1"/>
  <c r="M6" i="3"/>
  <c r="N6" i="3" s="1"/>
  <c r="O6" i="3" s="1"/>
  <c r="M5" i="3"/>
  <c r="N5" i="3" s="1"/>
  <c r="O5" i="3" s="1"/>
  <c r="C5" i="3"/>
  <c r="E5" i="3" s="1"/>
  <c r="M4" i="3"/>
  <c r="N4" i="3" s="1"/>
  <c r="O4" i="3" s="1"/>
  <c r="C4" i="3"/>
  <c r="E2" i="1" s="1"/>
  <c r="D20" i="1"/>
  <c r="C43" i="4" s="1"/>
  <c r="E19" i="1"/>
  <c r="E15" i="1"/>
  <c r="E17" i="1" s="1"/>
  <c r="E14" i="1"/>
  <c r="E9" i="1"/>
  <c r="E8" i="1"/>
  <c r="E5" i="1"/>
  <c r="D5" i="1"/>
  <c r="C5" i="1"/>
  <c r="C58" i="4"/>
  <c r="J39" i="4"/>
  <c r="K39" i="4" s="1"/>
  <c r="I38" i="4"/>
  <c r="H38" i="4"/>
  <c r="G38" i="4"/>
  <c r="F38" i="4"/>
  <c r="E38" i="4"/>
  <c r="D38" i="4"/>
  <c r="C38" i="4"/>
  <c r="N36" i="4"/>
  <c r="N35" i="4" s="1"/>
  <c r="M36" i="4"/>
  <c r="M35" i="4" s="1"/>
  <c r="F34" i="4"/>
  <c r="E34" i="4"/>
  <c r="D34" i="4"/>
  <c r="C34" i="4"/>
  <c r="F32" i="4"/>
  <c r="E32" i="4"/>
  <c r="D32" i="4"/>
  <c r="C32" i="4"/>
  <c r="G25" i="4"/>
  <c r="G24" i="4" s="1"/>
  <c r="C19" i="4"/>
  <c r="C8" i="5" s="1"/>
  <c r="C12" i="4"/>
  <c r="I18" i="4" s="1"/>
  <c r="I17" i="4" s="1"/>
  <c r="I21" i="4" s="1"/>
  <c r="C11" i="4"/>
  <c r="C10" i="4"/>
  <c r="H33" i="4" s="1"/>
  <c r="C9" i="4"/>
  <c r="C62" i="4" s="1"/>
  <c r="C7" i="4"/>
  <c r="C63" i="4" s="1"/>
  <c r="C5" i="4"/>
  <c r="O10" i="3" l="1"/>
  <c r="D4" i="3" s="1"/>
  <c r="D19" i="4"/>
  <c r="E19" i="4" s="1"/>
  <c r="F19" i="4" s="1"/>
  <c r="G19" i="4" s="1"/>
  <c r="H19" i="4" s="1"/>
  <c r="H18" i="4" s="1"/>
  <c r="H17" i="4" s="1"/>
  <c r="H21" i="4" s="1"/>
  <c r="H37" i="4" s="1"/>
  <c r="H25" i="4"/>
  <c r="H24" i="4" s="1"/>
  <c r="J25" i="4"/>
  <c r="J24" i="4" s="1"/>
  <c r="H36" i="4"/>
  <c r="H35" i="4" s="1"/>
  <c r="M6" i="5"/>
  <c r="N6" i="5" s="1"/>
  <c r="H34" i="4"/>
  <c r="H32" i="4"/>
  <c r="C9" i="5"/>
  <c r="E7" i="4"/>
  <c r="E8" i="5"/>
  <c r="D8" i="5"/>
  <c r="I25" i="4"/>
  <c r="I24" i="4" s="1"/>
  <c r="D43" i="4"/>
  <c r="E43" i="4" s="1"/>
  <c r="F43" i="4" s="1"/>
  <c r="G43" i="4" s="1"/>
  <c r="H43" i="4" s="1"/>
  <c r="I43" i="4" s="1"/>
  <c r="J43" i="4" s="1"/>
  <c r="K43" i="4" s="1"/>
  <c r="L43" i="4" s="1"/>
  <c r="M43" i="4" s="1"/>
  <c r="N43" i="4" s="1"/>
  <c r="C25" i="4"/>
  <c r="L25" i="4"/>
  <c r="L24" i="4" s="1"/>
  <c r="E18" i="4"/>
  <c r="E17" i="4" s="1"/>
  <c r="E21" i="4" s="1"/>
  <c r="E37" i="4" s="1"/>
  <c r="E25" i="4"/>
  <c r="E24" i="4" s="1"/>
  <c r="M25" i="4"/>
  <c r="M24" i="4" s="1"/>
  <c r="G33" i="4"/>
  <c r="K25" i="4"/>
  <c r="K24" i="4" s="1"/>
  <c r="D25" i="4"/>
  <c r="D24" i="4" s="1"/>
  <c r="C18" i="4"/>
  <c r="C17" i="4" s="1"/>
  <c r="C21" i="4" s="1"/>
  <c r="C37" i="4" s="1"/>
  <c r="F25" i="4"/>
  <c r="F24" i="4" s="1"/>
  <c r="N25" i="4"/>
  <c r="N24" i="4" s="1"/>
  <c r="C27" i="4"/>
  <c r="M20" i="5"/>
  <c r="N20" i="5" s="1"/>
  <c r="L20" i="5"/>
  <c r="K38" i="4"/>
  <c r="L39" i="4"/>
  <c r="J38" i="4"/>
  <c r="F18" i="4"/>
  <c r="F17" i="4" s="1"/>
  <c r="F21" i="4" s="1"/>
  <c r="F37" i="4" s="1"/>
  <c r="D18" i="4"/>
  <c r="D17" i="4" s="1"/>
  <c r="D21" i="4" s="1"/>
  <c r="D37" i="4" s="1"/>
  <c r="G18" i="4"/>
  <c r="G17" i="4" s="1"/>
  <c r="G21" i="4" s="1"/>
  <c r="G37" i="4" s="1"/>
  <c r="J18" i="4"/>
  <c r="J17" i="4" s="1"/>
  <c r="J21" i="4" s="1"/>
  <c r="E11" i="3"/>
  <c r="C21" i="3" s="1"/>
  <c r="E10" i="3"/>
  <c r="C20" i="3" s="1"/>
  <c r="K18" i="4"/>
  <c r="K17" i="4" s="1"/>
  <c r="K21" i="4" s="1"/>
  <c r="E4" i="3" l="1"/>
  <c r="D10" i="3" s="1"/>
  <c r="E36" i="4"/>
  <c r="E35" i="4" s="1"/>
  <c r="G6" i="5"/>
  <c r="H6" i="5" s="1"/>
  <c r="G8" i="5"/>
  <c r="F8" i="5"/>
  <c r="C6" i="5"/>
  <c r="D6" i="5" s="1"/>
  <c r="D13" i="5" s="1"/>
  <c r="D9" i="5"/>
  <c r="E9" i="5"/>
  <c r="G36" i="4"/>
  <c r="G35" i="4" s="1"/>
  <c r="K6" i="5"/>
  <c r="L6" i="5" s="1"/>
  <c r="C24" i="4"/>
  <c r="F36" i="4"/>
  <c r="F35" i="4" s="1"/>
  <c r="I6" i="5"/>
  <c r="J6" i="5" s="1"/>
  <c r="C29" i="4"/>
  <c r="C28" i="4" s="1"/>
  <c r="C26" i="4"/>
  <c r="D27" i="4" s="1"/>
  <c r="O43" i="4"/>
  <c r="D36" i="4"/>
  <c r="D35" i="4" s="1"/>
  <c r="E6" i="5"/>
  <c r="F6" i="5" s="1"/>
  <c r="G34" i="4"/>
  <c r="G32" i="4"/>
  <c r="C36" i="4"/>
  <c r="C35" i="4" s="1"/>
  <c r="L38" i="4"/>
  <c r="M39" i="4"/>
  <c r="L18" i="4"/>
  <c r="L17" i="4" s="1"/>
  <c r="L21" i="4" s="1"/>
  <c r="D11" i="3" l="1"/>
  <c r="F11" i="3" s="1"/>
  <c r="E7" i="3"/>
  <c r="C41" i="4"/>
  <c r="C46" i="4" s="1"/>
  <c r="G9" i="5"/>
  <c r="F9" i="5"/>
  <c r="D26" i="4"/>
  <c r="E27" i="4" s="1"/>
  <c r="D29" i="4"/>
  <c r="D28" i="4" s="1"/>
  <c r="D41" i="4" s="1"/>
  <c r="F13" i="5"/>
  <c r="I8" i="5"/>
  <c r="H8" i="5"/>
  <c r="N39" i="4"/>
  <c r="N38" i="4" s="1"/>
  <c r="M38" i="4"/>
  <c r="C16" i="3"/>
  <c r="C15" i="3"/>
  <c r="F10" i="3"/>
  <c r="M18" i="4"/>
  <c r="M17" i="4" s="1"/>
  <c r="M21" i="4" s="1"/>
  <c r="N18" i="4"/>
  <c r="N17" i="4" s="1"/>
  <c r="N21" i="4" s="1"/>
  <c r="D46" i="4" l="1"/>
  <c r="D48" i="4"/>
  <c r="E26" i="4"/>
  <c r="F27" i="4" s="1"/>
  <c r="E29" i="4"/>
  <c r="E28" i="4" s="1"/>
  <c r="E41" i="4" s="1"/>
  <c r="E46" i="4" s="1"/>
  <c r="I9" i="5"/>
  <c r="H9" i="5"/>
  <c r="H13" i="5" s="1"/>
  <c r="J8" i="5"/>
  <c r="K8" i="5"/>
  <c r="E16" i="3"/>
  <c r="D21" i="3" s="1"/>
  <c r="D16" i="3"/>
  <c r="D15" i="3"/>
  <c r="E15" i="3"/>
  <c r="D20" i="3" s="1"/>
  <c r="L8" i="5" l="1"/>
  <c r="M8" i="5"/>
  <c r="N8" i="5" s="1"/>
  <c r="K9" i="5"/>
  <c r="J9" i="5"/>
  <c r="J13" i="5" s="1"/>
  <c r="F26" i="4"/>
  <c r="G27" i="4" s="1"/>
  <c r="F29" i="4"/>
  <c r="F28" i="4" s="1"/>
  <c r="F41" i="4" s="1"/>
  <c r="M9" i="5" l="1"/>
  <c r="L9" i="5"/>
  <c r="L13" i="5" s="1"/>
  <c r="G26" i="4"/>
  <c r="H27" i="4" s="1"/>
  <c r="G29" i="4"/>
  <c r="G28" i="4" s="1"/>
  <c r="G41" i="4" s="1"/>
  <c r="G46" i="4" s="1"/>
  <c r="F46" i="4"/>
  <c r="H29" i="4" l="1"/>
  <c r="H26" i="4"/>
  <c r="I27" i="4" s="1"/>
  <c r="I26" i="4" s="1"/>
  <c r="J27" i="4" s="1"/>
  <c r="J26" i="4" s="1"/>
  <c r="K27" i="4" s="1"/>
  <c r="K26" i="4" s="1"/>
  <c r="L27" i="4" s="1"/>
  <c r="L26" i="4" s="1"/>
  <c r="M27" i="4" s="1"/>
  <c r="M26" i="4" s="1"/>
  <c r="N27" i="4" s="1"/>
  <c r="N26" i="4" s="1"/>
  <c r="C21" i="5"/>
  <c r="N9" i="5"/>
  <c r="N13" i="5" s="1"/>
  <c r="D21" i="5" l="1"/>
  <c r="E21" i="5"/>
  <c r="I29" i="4"/>
  <c r="H28" i="4"/>
  <c r="H41" i="4" s="1"/>
  <c r="H46" i="4" l="1"/>
  <c r="F21" i="5"/>
  <c r="G21" i="5"/>
  <c r="J29" i="4"/>
  <c r="I28" i="4"/>
  <c r="K29" i="4" l="1"/>
  <c r="J28" i="4"/>
  <c r="I36" i="4"/>
  <c r="I33" i="4"/>
  <c r="H21" i="5"/>
  <c r="I21" i="5"/>
  <c r="C52" i="4"/>
  <c r="K21" i="5" l="1"/>
  <c r="J21" i="5"/>
  <c r="I34" i="4"/>
  <c r="I32" i="4"/>
  <c r="I37" i="4"/>
  <c r="I35" i="4"/>
  <c r="J36" i="4"/>
  <c r="J33" i="4"/>
  <c r="L29" i="4"/>
  <c r="K28" i="4"/>
  <c r="J34" i="4" l="1"/>
  <c r="E23" i="5" s="1"/>
  <c r="F23" i="5" s="1"/>
  <c r="J32" i="4"/>
  <c r="I41" i="4"/>
  <c r="I46" i="4" s="1"/>
  <c r="K33" i="4"/>
  <c r="K36" i="4"/>
  <c r="J37" i="4"/>
  <c r="E18" i="5" s="1"/>
  <c r="F18" i="5" s="1"/>
  <c r="J35" i="4"/>
  <c r="C18" i="5"/>
  <c r="D18" i="5" s="1"/>
  <c r="C23" i="5"/>
  <c r="D23" i="5" s="1"/>
  <c r="L28" i="4"/>
  <c r="M29" i="4"/>
  <c r="L21" i="5"/>
  <c r="M21" i="5"/>
  <c r="N21" i="5" s="1"/>
  <c r="F25" i="5" l="1"/>
  <c r="K34" i="4"/>
  <c r="K32" i="4"/>
  <c r="K37" i="4"/>
  <c r="G18" i="5" s="1"/>
  <c r="H18" i="5" s="1"/>
  <c r="K35" i="4"/>
  <c r="J41" i="4"/>
  <c r="J46" i="4" s="1"/>
  <c r="M28" i="4"/>
  <c r="M33" i="4" s="1"/>
  <c r="N29" i="4"/>
  <c r="N28" i="4" s="1"/>
  <c r="N33" i="4" s="1"/>
  <c r="L36" i="4"/>
  <c r="L33" i="4"/>
  <c r="D25" i="5"/>
  <c r="C61" i="4" l="1"/>
  <c r="N32" i="4"/>
  <c r="N41" i="4" s="1"/>
  <c r="N34" i="4"/>
  <c r="L37" i="4"/>
  <c r="L35" i="4"/>
  <c r="G23" i="5"/>
  <c r="H23" i="5" s="1"/>
  <c r="H25" i="5" s="1"/>
  <c r="K41" i="4"/>
  <c r="K46" i="4" s="1"/>
  <c r="L34" i="4"/>
  <c r="I23" i="5" s="1"/>
  <c r="J23" i="5" s="1"/>
  <c r="L32" i="4"/>
  <c r="M32" i="4"/>
  <c r="M41" i="4" s="1"/>
  <c r="M46" i="4" s="1"/>
  <c r="M34" i="4"/>
  <c r="K23" i="5" s="1"/>
  <c r="L23" i="5" s="1"/>
  <c r="L25" i="5" s="1"/>
  <c r="I18" i="5" l="1"/>
  <c r="J18" i="5" s="1"/>
  <c r="C60" i="4"/>
  <c r="J25" i="5"/>
  <c r="M23" i="5"/>
  <c r="N23" i="5" s="1"/>
  <c r="N25" i="5" s="1"/>
  <c r="L41" i="4"/>
  <c r="L46" i="4" s="1"/>
  <c r="N46" i="4"/>
  <c r="O41" i="4"/>
  <c r="O42" i="4" s="1"/>
  <c r="O46" i="4" l="1"/>
  <c r="C53" i="4"/>
</calcChain>
</file>

<file path=xl/sharedStrings.xml><?xml version="1.0" encoding="utf-8"?>
<sst xmlns="http://schemas.openxmlformats.org/spreadsheetml/2006/main" count="163" uniqueCount="116">
  <si>
    <t>N° de Cajas</t>
  </si>
  <si>
    <t>Precio Unitario</t>
  </si>
  <si>
    <t>Total</t>
  </si>
  <si>
    <t>Cantidad de Cajas Mensuales</t>
  </si>
  <si>
    <t>Custodia</t>
  </si>
  <si>
    <t>Subtotal</t>
  </si>
  <si>
    <t>Descripción</t>
  </si>
  <si>
    <t>VALOR TOTAL DEL PROYECTO</t>
  </si>
  <si>
    <t>PRESUPUESTO DEL PROYECTO MES</t>
  </si>
  <si>
    <t>Saldo Mensual</t>
  </si>
  <si>
    <t>Cliente</t>
  </si>
  <si>
    <t>Comisiones Ventas</t>
  </si>
  <si>
    <t>Valor</t>
  </si>
  <si>
    <t>%</t>
  </si>
  <si>
    <t>Cant.</t>
  </si>
  <si>
    <t>PVP</t>
  </si>
  <si>
    <t>Costo</t>
  </si>
  <si>
    <t>Margen</t>
  </si>
  <si>
    <t>Comisión</t>
  </si>
  <si>
    <t>Inversion Inicial</t>
  </si>
  <si>
    <t>Kit de Almacenamiento</t>
  </si>
  <si>
    <t>Custodia Mensual</t>
  </si>
  <si>
    <t>Ordenamiento File</t>
  </si>
  <si>
    <t>Destrucción de Archivos</t>
  </si>
  <si>
    <t>Inv. Inicial</t>
  </si>
  <si>
    <t>Comision Gerencia Comercial</t>
  </si>
  <si>
    <t>Total de Comisiones a Recibir</t>
  </si>
  <si>
    <t>Anticipo</t>
  </si>
  <si>
    <t>Saldo</t>
  </si>
  <si>
    <t>Sofia Chiriboga</t>
  </si>
  <si>
    <t>Santiago Gómez</t>
  </si>
  <si>
    <t>Total de Comisiones a Recibir por Custodia</t>
  </si>
  <si>
    <t>Por Pagar</t>
  </si>
  <si>
    <t>Comisión S.A.C.</t>
  </si>
  <si>
    <t>Costo Mensual</t>
  </si>
  <si>
    <t>Total de Cajas</t>
  </si>
  <si>
    <t>Valor total de Custodia</t>
  </si>
  <si>
    <t>TOTAL DE CAJAS BAJO CUSTODIA</t>
  </si>
  <si>
    <t>CANTIDAD DE CAJAS A DESTRUIR</t>
  </si>
  <si>
    <t>TIEMPO DE DESTRUCCIÓN DE CAJAS EN MESES</t>
  </si>
  <si>
    <t>CANTIDAD DE CAJAS A DESTRUIR POR MES</t>
  </si>
  <si>
    <t>VALOR DE DESTRUCCIÓN POR CAJA</t>
  </si>
  <si>
    <t>VALOR DE CUSTODIA POR MES</t>
  </si>
  <si>
    <t>Valor de Destrucción Mensual</t>
  </si>
  <si>
    <t>Cajas para Custodia</t>
  </si>
  <si>
    <t>AHORRO EN CUSTODIA POR DESTRUCCIÓN</t>
  </si>
  <si>
    <t>Valor a favor por destrucción</t>
  </si>
  <si>
    <t>Cantidad de Cajas Destruidas</t>
  </si>
  <si>
    <t>TOTAL DE CAJAS A CANCELAR POR MES</t>
  </si>
  <si>
    <t>PERIODO DE AHORRO</t>
  </si>
  <si>
    <t>TOTAL AHORRO</t>
  </si>
  <si>
    <t>GASTO CORRIENTE</t>
  </si>
  <si>
    <t>GASTO POR DESTRUCCIÓN</t>
  </si>
  <si>
    <t>TOTAL GASTO CORRIENTE</t>
  </si>
  <si>
    <t>TOTAL DE REDUCCIÓN EN EL TIEMPO</t>
  </si>
  <si>
    <t>INVERSIÓN DE DIGITALIZACIÓN</t>
  </si>
  <si>
    <t>INVERSIÓN POR DIGITALIZACIÓN</t>
  </si>
  <si>
    <t xml:space="preserve">PAGO POR CUSTODIA DIGITAL MENSUAL </t>
  </si>
  <si>
    <t xml:space="preserve">PAGO POR CUSTODIA FÍSICA MENSUAL </t>
  </si>
  <si>
    <t>Valor Mensual de Almacenamiento</t>
  </si>
  <si>
    <t>Valor Mensual Menos Destrucción</t>
  </si>
  <si>
    <t xml:space="preserve">VALOR DE CUSTODIA ACTUAL </t>
  </si>
  <si>
    <t>ORDENAMIENTO POR FILE</t>
  </si>
  <si>
    <t>Valor Mensual por Digitalización</t>
  </si>
  <si>
    <t>Valor Mensual por Ordenamiento</t>
  </si>
  <si>
    <t>Cantidad de Digitalizados</t>
  </si>
  <si>
    <t>VALOR DE DIGITALIZACIÓN</t>
  </si>
  <si>
    <t xml:space="preserve">VALOR DE ORDENAMIENTO POR FILE </t>
  </si>
  <si>
    <t>Cantidad de Files</t>
  </si>
  <si>
    <t>VALOR DE AHORRO POR DESTRUCCIÓN MENSUAL</t>
  </si>
  <si>
    <t>Periodo Destrucción en Meses</t>
  </si>
  <si>
    <t>TOTAL DE CAJAS AÑO 2017</t>
  </si>
  <si>
    <t>TOTAL DE FACTURAS POR CAJA 2017</t>
  </si>
  <si>
    <t>CAJAS DE FACTURAS AÑO 2017</t>
  </si>
  <si>
    <t>TOTAL DE IMÁGENES DIGITALIZADAS</t>
  </si>
  <si>
    <t>TOTAL DE FILES (FACTURAS) 2017</t>
  </si>
  <si>
    <t>PRIMER SEMESTRE</t>
  </si>
  <si>
    <t>SEGUNDO SEMESTRE</t>
  </si>
  <si>
    <t>PROPUESTA DE IMPLEMENTACIÓN DE SOLUCIÓN INTEGRAL DEL ADMINISTRACIÓN DOCUMENTAL FÍSICA Y DIGITAL</t>
  </si>
  <si>
    <t>ATENTAMENTE,</t>
  </si>
  <si>
    <t>DATASOLUTIONS S.A.</t>
  </si>
  <si>
    <t>Destrucción</t>
  </si>
  <si>
    <t>Custodia Digital</t>
  </si>
  <si>
    <t>AJECUADOR</t>
  </si>
  <si>
    <t>PRECIOS</t>
  </si>
  <si>
    <t xml:space="preserve">DETALLE </t>
  </si>
  <si>
    <t>CANT.</t>
  </si>
  <si>
    <t>FLUJO</t>
  </si>
  <si>
    <t>Indexación por File</t>
  </si>
  <si>
    <t>Custodia Física</t>
  </si>
  <si>
    <t>Kit de Almacenameinto</t>
  </si>
  <si>
    <t>Digitalización /Extracción</t>
  </si>
  <si>
    <t>JULIO - 20</t>
  </si>
  <si>
    <t>AGOSTO - 20</t>
  </si>
  <si>
    <t>SEPTIEMBRE - 20</t>
  </si>
  <si>
    <t>OCTUBRE - 20</t>
  </si>
  <si>
    <t>NOVIEMBRE - 20</t>
  </si>
  <si>
    <t>DICIEMBRE - 20</t>
  </si>
  <si>
    <t>ENERO - 21</t>
  </si>
  <si>
    <t>FEBRERO - 21</t>
  </si>
  <si>
    <t>MARZO - 21</t>
  </si>
  <si>
    <t>ABRIL - 21</t>
  </si>
  <si>
    <t>MAYO - 21</t>
  </si>
  <si>
    <t>JUNIO - 21</t>
  </si>
  <si>
    <t>TOTAL DE FILES ORDENADOS X AGRUPACIÓN</t>
  </si>
  <si>
    <t>CAJAS DESTRUIDAS</t>
  </si>
  <si>
    <t>CAJAS BAJO CUSTODIA</t>
  </si>
  <si>
    <t>SERVICIOS DE VALOR AGREGADO</t>
  </si>
  <si>
    <t>DESTRUCCIÒN DE CAJAS</t>
  </si>
  <si>
    <t>$0,00</t>
  </si>
  <si>
    <t>TRASLADO INICIAL</t>
  </si>
  <si>
    <t>RETORNO DE CAJAS</t>
  </si>
  <si>
    <t>ORDENAMIENTO POR CAJA</t>
  </si>
  <si>
    <t>Búsqueda de Cajas</t>
  </si>
  <si>
    <t>Envío Regular</t>
  </si>
  <si>
    <t>DETALLE DE FACTURACIÓN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</si>
</sst>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&quot;$&quot;* #,##0.00_ ;_ &quot;$&quot;* \-#,##0.00_ ;_ &quot;$&quot;* &quot;-&quot;??_ ;_ @_ "/>
    <numFmt numFmtId="165" formatCode="_(&quot;$&quot;* #,##0.00_);_(&quot;$&quot;* \(#,##0.00\);_(&quot;$&quot;* &quot;-&quot;??_);_(@_)"/>
    <numFmt numFmtId="166" formatCode="_ [$$-300A]* #,##0.00_ ;_ [$$-300A]* \-#,##0.00_ ;_ [$$-300A]* &quot;-&quot;??_ ;_ @_ "/>
    <numFmt numFmtId="167" formatCode="_([$$-300A]\ * #,##0.00_);_([$$-300A]\ * \(#,##0.00\);_([$$-300A]\ * &quot;-&quot;??_);_(@_)"/>
    <numFmt numFmtId="168" formatCode="_-&quot;$&quot;* #,##0.00_-;\-&quot;$&quot;* #,##0.00_-;_-&quot;$&quot;* &quot;-&quot;??_-;_-@_-"/>
    <numFmt numFmtId="169" formatCode="_-&quot;$&quot;* #,##0.000_-;\-&quot;$&quot;* #,##0.000_-;_-&quot;$&quot;* &quot;-&quot;??_-;_-@_-"/>
    <numFmt numFmtId="170" formatCode="_ &quot;$&quot;* #,##0.0000_ ;_ &quot;$&quot;* \-#,##0.0000_ ;_ &quot;$&quot;* &quot;-&quot;??_ ;_ @_ 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14">
    <xf numFmtId="0" fontId="0" fillId="0" borderId="0" xfId="0"/>
    <xf numFmtId="164" fontId="0" fillId="0" borderId="0" xfId="0" applyNumberForma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" fontId="0" fillId="0" borderId="1" xfId="0" applyNumberFormat="1" applyBorder="1"/>
    <xf numFmtId="0" fontId="1" fillId="2" borderId="1" xfId="0" applyFont="1" applyFill="1" applyBorder="1"/>
    <xf numFmtId="0" fontId="2" fillId="3" borderId="1" xfId="0" applyFont="1" applyFill="1" applyBorder="1" applyAlignment="1">
      <alignment horizontal="center"/>
    </xf>
    <xf numFmtId="165" fontId="0" fillId="0" borderId="1" xfId="0" applyNumberFormat="1" applyBorder="1"/>
    <xf numFmtId="0" fontId="2" fillId="4" borderId="1" xfId="0" applyFont="1" applyFill="1" applyBorder="1" applyAlignment="1">
      <alignment horizontal="center"/>
    </xf>
    <xf numFmtId="166" fontId="2" fillId="4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166" fontId="4" fillId="5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168" fontId="1" fillId="4" borderId="1" xfId="0" applyNumberFormat="1" applyFont="1" applyFill="1" applyBorder="1"/>
    <xf numFmtId="1" fontId="0" fillId="0" borderId="1" xfId="0" applyNumberFormat="1" applyBorder="1" applyAlignment="1">
      <alignment horizontal="center"/>
    </xf>
    <xf numFmtId="164" fontId="1" fillId="4" borderId="1" xfId="0" applyNumberFormat="1" applyFont="1" applyFill="1" applyBorder="1"/>
    <xf numFmtId="164" fontId="1" fillId="2" borderId="1" xfId="0" applyNumberFormat="1" applyFont="1" applyFill="1" applyBorder="1"/>
    <xf numFmtId="0" fontId="3" fillId="0" borderId="1" xfId="0" applyFont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65" fontId="1" fillId="7" borderId="1" xfId="0" applyNumberFormat="1" applyFont="1" applyFill="1" applyBorder="1"/>
    <xf numFmtId="167" fontId="1" fillId="7" borderId="1" xfId="0" applyNumberFormat="1" applyFont="1" applyFill="1" applyBorder="1"/>
    <xf numFmtId="0" fontId="3" fillId="0" borderId="1" xfId="0" applyFont="1" applyFill="1" applyBorder="1" applyAlignment="1">
      <alignment horizontal="left"/>
    </xf>
    <xf numFmtId="168" fontId="3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1" fillId="8" borderId="1" xfId="0" applyFont="1" applyFill="1" applyBorder="1"/>
    <xf numFmtId="0" fontId="1" fillId="8" borderId="1" xfId="0" applyFont="1" applyFill="1" applyBorder="1" applyAlignment="1">
      <alignment horizontal="center" vertical="center"/>
    </xf>
    <xf numFmtId="0" fontId="5" fillId="0" borderId="1" xfId="0" applyFont="1" applyBorder="1"/>
    <xf numFmtId="168" fontId="0" fillId="0" borderId="1" xfId="0" applyNumberFormat="1" applyBorder="1"/>
    <xf numFmtId="9" fontId="0" fillId="0" borderId="1" xfId="0" applyNumberFormat="1" applyBorder="1" applyAlignment="1">
      <alignment horizontal="center" vertical="center"/>
    </xf>
    <xf numFmtId="0" fontId="5" fillId="2" borderId="1" xfId="0" applyFont="1" applyFill="1" applyBorder="1"/>
    <xf numFmtId="169" fontId="0" fillId="0" borderId="1" xfId="0" applyNumberFormat="1" applyBorder="1"/>
    <xf numFmtId="0" fontId="5" fillId="4" borderId="1" xfId="0" applyFont="1" applyFill="1" applyBorder="1" applyAlignment="1">
      <alignment horizontal="center" vertical="center"/>
    </xf>
    <xf numFmtId="168" fontId="5" fillId="4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8" fontId="0" fillId="0" borderId="0" xfId="0" applyNumberFormat="1"/>
    <xf numFmtId="9" fontId="5" fillId="4" borderId="1" xfId="0" applyNumberFormat="1" applyFont="1" applyFill="1" applyBorder="1" applyAlignment="1">
      <alignment horizontal="center" vertical="center"/>
    </xf>
    <xf numFmtId="168" fontId="5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9" fontId="5" fillId="2" borderId="7" xfId="0" applyNumberFormat="1" applyFont="1" applyFill="1" applyBorder="1" applyAlignment="1">
      <alignment horizontal="center" vertical="center"/>
    </xf>
    <xf numFmtId="168" fontId="5" fillId="0" borderId="1" xfId="0" applyNumberFormat="1" applyFont="1" applyBorder="1"/>
    <xf numFmtId="168" fontId="0" fillId="0" borderId="7" xfId="0" applyNumberFormat="1" applyBorder="1"/>
    <xf numFmtId="164" fontId="0" fillId="0" borderId="1" xfId="0" applyNumberFormat="1" applyBorder="1" applyAlignment="1">
      <alignment horizontal="center"/>
    </xf>
    <xf numFmtId="1" fontId="1" fillId="7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/>
    <xf numFmtId="0" fontId="2" fillId="4" borderId="1" xfId="0" applyFont="1" applyFill="1" applyBorder="1" applyAlignment="1">
      <alignment horizontal="center" vertical="center"/>
    </xf>
    <xf numFmtId="168" fontId="2" fillId="4" borderId="1" xfId="0" applyNumberFormat="1" applyFont="1" applyFill="1" applyBorder="1" applyAlignment="1">
      <alignment horizontal="center"/>
    </xf>
    <xf numFmtId="168" fontId="2" fillId="3" borderId="1" xfId="0" applyNumberFormat="1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 vertical="center"/>
    </xf>
    <xf numFmtId="168" fontId="6" fillId="9" borderId="1" xfId="0" applyNumberFormat="1" applyFont="1" applyFill="1" applyBorder="1"/>
    <xf numFmtId="168" fontId="8" fillId="3" borderId="1" xfId="0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70" fontId="0" fillId="0" borderId="1" xfId="0" applyNumberForma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0" fillId="2" borderId="1" xfId="0" applyFill="1" applyBorder="1"/>
    <xf numFmtId="0" fontId="1" fillId="4" borderId="1" xfId="0" applyFont="1" applyFill="1" applyBorder="1"/>
    <xf numFmtId="1" fontId="1" fillId="4" borderId="1" xfId="0" applyNumberFormat="1" applyFont="1" applyFill="1" applyBorder="1"/>
    <xf numFmtId="0" fontId="0" fillId="0" borderId="0" xfId="0" applyBorder="1" applyAlignment="1">
      <alignment horizontal="center"/>
    </xf>
    <xf numFmtId="0" fontId="1" fillId="0" borderId="0" xfId="0" applyFont="1" applyFill="1" applyBorder="1"/>
    <xf numFmtId="0" fontId="1" fillId="0" borderId="0" xfId="0" applyFont="1"/>
    <xf numFmtId="17" fontId="2" fillId="3" borderId="1" xfId="0" applyNumberFormat="1" applyFont="1" applyFill="1" applyBorder="1" applyAlignment="1">
      <alignment horizontal="center"/>
    </xf>
    <xf numFmtId="17" fontId="4" fillId="9" borderId="1" xfId="0" applyNumberFormat="1" applyFont="1" applyFill="1" applyBorder="1" applyAlignment="1">
      <alignment horizontal="center"/>
    </xf>
    <xf numFmtId="9" fontId="0" fillId="0" borderId="0" xfId="1" applyFont="1"/>
    <xf numFmtId="0" fontId="11" fillId="0" borderId="1" xfId="0" applyFont="1" applyBorder="1" applyAlignment="1">
      <alignment horizontal="center" vertical="center"/>
    </xf>
    <xf numFmtId="14" fontId="11" fillId="6" borderId="1" xfId="0" applyNumberFormat="1" applyFont="1" applyFill="1" applyBorder="1" applyAlignment="1">
      <alignment horizontal="center" vertical="center"/>
    </xf>
    <xf numFmtId="164" fontId="12" fillId="0" borderId="12" xfId="0" applyNumberFormat="1" applyFont="1" applyBorder="1" applyAlignment="1">
      <alignment horizontal="center"/>
    </xf>
    <xf numFmtId="0" fontId="12" fillId="0" borderId="13" xfId="0" applyFont="1" applyBorder="1"/>
    <xf numFmtId="0" fontId="12" fillId="0" borderId="12" xfId="0" applyFont="1" applyBorder="1" applyAlignment="1">
      <alignment horizontal="center"/>
    </xf>
    <xf numFmtId="164" fontId="12" fillId="6" borderId="14" xfId="0" applyNumberFormat="1" applyFont="1" applyFill="1" applyBorder="1"/>
    <xf numFmtId="170" fontId="12" fillId="0" borderId="12" xfId="0" applyNumberFormat="1" applyFont="1" applyBorder="1" applyAlignment="1">
      <alignment horizontal="center"/>
    </xf>
    <xf numFmtId="1" fontId="12" fillId="0" borderId="12" xfId="0" applyNumberFormat="1" applyFont="1" applyBorder="1" applyAlignment="1">
      <alignment horizontal="center"/>
    </xf>
    <xf numFmtId="164" fontId="12" fillId="0" borderId="7" xfId="0" applyNumberFormat="1" applyFont="1" applyBorder="1" applyAlignment="1">
      <alignment horizontal="center"/>
    </xf>
    <xf numFmtId="0" fontId="12" fillId="0" borderId="6" xfId="0" applyFont="1" applyBorder="1"/>
    <xf numFmtId="0" fontId="12" fillId="0" borderId="7" xfId="0" applyFont="1" applyBorder="1" applyAlignment="1">
      <alignment horizontal="center"/>
    </xf>
    <xf numFmtId="164" fontId="12" fillId="6" borderId="5" xfId="0" applyNumberFormat="1" applyFont="1" applyFill="1" applyBorder="1"/>
    <xf numFmtId="164" fontId="12" fillId="0" borderId="0" xfId="0" applyNumberFormat="1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164" fontId="11" fillId="6" borderId="1" xfId="0" applyNumberFormat="1" applyFont="1" applyFill="1" applyBorder="1"/>
    <xf numFmtId="2" fontId="0" fillId="0" borderId="0" xfId="1" applyNumberFormat="1" applyFont="1" applyBorder="1" applyAlignment="1">
      <alignment horizontal="center"/>
    </xf>
    <xf numFmtId="0" fontId="1" fillId="4" borderId="2" xfId="0" applyFont="1" applyFill="1" applyBorder="1"/>
    <xf numFmtId="1" fontId="1" fillId="4" borderId="2" xfId="0" applyNumberFormat="1" applyFont="1" applyFill="1" applyBorder="1"/>
    <xf numFmtId="0" fontId="8" fillId="6" borderId="1" xfId="0" applyFont="1" applyFill="1" applyBorder="1" applyAlignment="1">
      <alignment vertical="center"/>
    </xf>
    <xf numFmtId="0" fontId="8" fillId="6" borderId="1" xfId="0" applyFont="1" applyFill="1" applyBorder="1" applyAlignment="1">
      <alignment horizontal="right" vertical="center"/>
    </xf>
    <xf numFmtId="164" fontId="12" fillId="6" borderId="12" xfId="0" applyNumberFormat="1" applyFont="1" applyFill="1" applyBorder="1"/>
    <xf numFmtId="164" fontId="12" fillId="6" borderId="7" xfId="0" applyNumberFormat="1" applyFont="1" applyFill="1" applyBorder="1"/>
    <xf numFmtId="0" fontId="12" fillId="0" borderId="15" xfId="0" applyFont="1" applyBorder="1" applyAlignment="1">
      <alignment horizontal="center"/>
    </xf>
    <xf numFmtId="164" fontId="12" fillId="0" borderId="14" xfId="0" applyNumberFormat="1" applyFont="1" applyBorder="1" applyAlignment="1">
      <alignment horizontal="center"/>
    </xf>
    <xf numFmtId="0" fontId="12" fillId="0" borderId="0" xfId="0" applyFont="1" applyBorder="1"/>
    <xf numFmtId="0" fontId="0" fillId="0" borderId="0" xfId="0" applyBorder="1"/>
    <xf numFmtId="0" fontId="0" fillId="0" borderId="8" xfId="0" applyBorder="1" applyAlignment="1">
      <alignment horizontal="center"/>
    </xf>
    <xf numFmtId="0" fontId="9" fillId="4" borderId="9" xfId="0" applyFont="1" applyFill="1" applyBorder="1" applyAlignment="1">
      <alignment horizontal="center"/>
    </xf>
    <xf numFmtId="0" fontId="9" fillId="4" borderId="10" xfId="0" applyFont="1" applyFill="1" applyBorder="1" applyAlignment="1">
      <alignment horizontal="center"/>
    </xf>
    <xf numFmtId="0" fontId="9" fillId="4" borderId="1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14" fontId="11" fillId="0" borderId="9" xfId="0" applyNumberFormat="1" applyFont="1" applyBorder="1" applyAlignment="1">
      <alignment horizontal="center" vertical="center"/>
    </xf>
    <xf numFmtId="14" fontId="11" fillId="0" borderId="11" xfId="0" applyNumberFormat="1" applyFont="1" applyBorder="1" applyAlignment="1">
      <alignment horizontal="center" vertical="center"/>
    </xf>
    <xf numFmtId="14" fontId="11" fillId="0" borderId="10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fecomercial\OneDrive\Documentos\Data%20Solutions\Jefatura%20Comercial\Documentaci&#243;n%20Importante\Contratos\Contratos%20Clientes\Cliente%20GYE\Ecuaqu&#237;mica\Flujo%20de%20Destruccion_Ecuaquimica_12M_Fac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ujo"/>
      <sheetName val="Facturación"/>
      <sheetName val="Facturación vs. Flujo"/>
      <sheetName val="Relacion Facturacion"/>
      <sheetName val="Comision Ecuaquímica"/>
      <sheetName val="Analisis de Costos"/>
      <sheetName val="Ecuaquimica Destrucción"/>
    </sheetNames>
    <sheetDataSet>
      <sheetData sheetId="0">
        <row r="15">
          <cell r="C15">
            <v>0.1171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F62CF-1C14-406B-8CDD-DB85574BAB0E}">
  <sheetPr>
    <pageSetUpPr fitToPage="1"/>
  </sheetPr>
  <dimension ref="B2:O75"/>
  <sheetViews>
    <sheetView topLeftCell="A19" workbookViewId="0">
      <selection activeCell="D27" sqref="D27"/>
    </sheetView>
  </sheetViews>
  <sheetFormatPr baseColWidth="10" defaultRowHeight="15" outlineLevelRow="1" x14ac:dyDescent="0.25"/>
  <cols>
    <col min="2" max="2" width="40.85546875" bestFit="1" customWidth="1"/>
    <col min="3" max="3" width="14.85546875" bestFit="1" customWidth="1"/>
    <col min="4" max="4" width="13.7109375" bestFit="1" customWidth="1"/>
    <col min="5" max="6" width="11" bestFit="1" customWidth="1"/>
    <col min="7" max="7" width="11.28515625" bestFit="1" customWidth="1"/>
    <col min="8" max="8" width="11" bestFit="1" customWidth="1"/>
    <col min="9" max="9" width="13.7109375" bestFit="1" customWidth="1"/>
    <col min="10" max="11" width="13.85546875" bestFit="1" customWidth="1"/>
  </cols>
  <sheetData>
    <row r="2" spans="2:14" ht="15.75" x14ac:dyDescent="0.25">
      <c r="B2" s="98" t="s">
        <v>78</v>
      </c>
      <c r="C2" s="99"/>
      <c r="D2" s="99"/>
      <c r="E2" s="99"/>
      <c r="F2" s="99"/>
      <c r="G2" s="99"/>
      <c r="H2" s="100"/>
    </row>
    <row r="5" spans="2:14" x14ac:dyDescent="0.25">
      <c r="B5" s="9" t="s">
        <v>8</v>
      </c>
      <c r="C5" s="20">
        <f>'Analisis de Costos'!E5</f>
        <v>0</v>
      </c>
      <c r="E5" s="1"/>
      <c r="F5" s="1"/>
    </row>
    <row r="7" spans="2:14" x14ac:dyDescent="0.25">
      <c r="B7" s="10" t="s">
        <v>37</v>
      </c>
      <c r="C7" s="18">
        <f>'Analisis de Costos'!D19</f>
        <v>8841</v>
      </c>
      <c r="E7" s="50">
        <f>C7-C9</f>
        <v>5857</v>
      </c>
    </row>
    <row r="8" spans="2:14" x14ac:dyDescent="0.25">
      <c r="B8" s="10" t="s">
        <v>39</v>
      </c>
      <c r="C8" s="6">
        <f>'Analisis de Costos'!E7</f>
        <v>6</v>
      </c>
    </row>
    <row r="9" spans="2:14" x14ac:dyDescent="0.25">
      <c r="B9" s="10" t="s">
        <v>38</v>
      </c>
      <c r="C9" s="6">
        <f>'Analisis de Costos'!C5</f>
        <v>2984</v>
      </c>
    </row>
    <row r="10" spans="2:14" x14ac:dyDescent="0.25">
      <c r="B10" s="10" t="s">
        <v>40</v>
      </c>
      <c r="C10" s="18">
        <f>'Analisis de Costos'!E9</f>
        <v>497.33333333333331</v>
      </c>
    </row>
    <row r="11" spans="2:14" x14ac:dyDescent="0.25">
      <c r="B11" s="10" t="s">
        <v>41</v>
      </c>
      <c r="C11" s="46">
        <f>'Analisis de Costos'!D5</f>
        <v>0</v>
      </c>
    </row>
    <row r="12" spans="2:14" x14ac:dyDescent="0.25">
      <c r="B12" s="10" t="s">
        <v>42</v>
      </c>
      <c r="C12" s="46">
        <f>'Analisis de Costos'!D14</f>
        <v>0.28999999999999998</v>
      </c>
    </row>
    <row r="13" spans="2:14" x14ac:dyDescent="0.25">
      <c r="B13" s="10" t="s">
        <v>66</v>
      </c>
      <c r="C13" s="59">
        <v>0.1171</v>
      </c>
    </row>
    <row r="14" spans="2:14" x14ac:dyDescent="0.25">
      <c r="B14" s="10" t="s">
        <v>67</v>
      </c>
      <c r="C14" s="46">
        <f>'AJEcuador Destrucción'!K6</f>
        <v>0.25</v>
      </c>
    </row>
    <row r="16" spans="2:14" x14ac:dyDescent="0.25">
      <c r="B16" s="10" t="s">
        <v>49</v>
      </c>
      <c r="C16" s="67">
        <v>44013</v>
      </c>
      <c r="D16" s="67">
        <v>44044</v>
      </c>
      <c r="E16" s="67">
        <v>44075</v>
      </c>
      <c r="F16" s="67">
        <v>44105</v>
      </c>
      <c r="G16" s="67">
        <v>44136</v>
      </c>
      <c r="H16" s="67">
        <v>44166</v>
      </c>
      <c r="I16" s="68">
        <v>44197</v>
      </c>
      <c r="J16" s="68">
        <v>44228</v>
      </c>
      <c r="K16" s="68">
        <v>44256</v>
      </c>
      <c r="L16" s="68">
        <v>44287</v>
      </c>
      <c r="M16" s="68">
        <v>44317</v>
      </c>
      <c r="N16" s="68">
        <v>44348</v>
      </c>
    </row>
    <row r="17" spans="2:14" x14ac:dyDescent="0.25">
      <c r="B17" s="22" t="s">
        <v>45</v>
      </c>
      <c r="C17" s="23">
        <f t="shared" ref="C17:N17" si="0">SUM(C18:C18)</f>
        <v>144.22666666666666</v>
      </c>
      <c r="D17" s="23">
        <f t="shared" si="0"/>
        <v>288.45333333333332</v>
      </c>
      <c r="E17" s="23">
        <f t="shared" si="0"/>
        <v>432.67999999999995</v>
      </c>
      <c r="F17" s="23">
        <f t="shared" si="0"/>
        <v>576.90666666666664</v>
      </c>
      <c r="G17" s="23">
        <f t="shared" si="0"/>
        <v>721.13333333333321</v>
      </c>
      <c r="H17" s="23">
        <f t="shared" si="0"/>
        <v>865.3599999999999</v>
      </c>
      <c r="I17" s="23">
        <f t="shared" si="0"/>
        <v>0</v>
      </c>
      <c r="J17" s="23">
        <f t="shared" si="0"/>
        <v>0</v>
      </c>
      <c r="K17" s="23">
        <f t="shared" si="0"/>
        <v>0</v>
      </c>
      <c r="L17" s="23">
        <f t="shared" si="0"/>
        <v>0</v>
      </c>
      <c r="M17" s="23">
        <f t="shared" si="0"/>
        <v>0</v>
      </c>
      <c r="N17" s="23">
        <f t="shared" si="0"/>
        <v>0</v>
      </c>
    </row>
    <row r="18" spans="2:14" outlineLevel="1" x14ac:dyDescent="0.25">
      <c r="B18" s="21" t="s">
        <v>46</v>
      </c>
      <c r="C18" s="11">
        <f>C19*C12</f>
        <v>144.22666666666666</v>
      </c>
      <c r="D18" s="11">
        <f>D19*C12</f>
        <v>288.45333333333332</v>
      </c>
      <c r="E18" s="11">
        <f>E19*C12</f>
        <v>432.67999999999995</v>
      </c>
      <c r="F18" s="11">
        <f>F19*C12</f>
        <v>576.90666666666664</v>
      </c>
      <c r="G18" s="11">
        <f>G19*C12</f>
        <v>721.13333333333321</v>
      </c>
      <c r="H18" s="11">
        <f>H19*C12</f>
        <v>865.3599999999999</v>
      </c>
      <c r="I18" s="11">
        <f>I19*C12</f>
        <v>0</v>
      </c>
      <c r="J18" s="11">
        <f>J19*C12</f>
        <v>0</v>
      </c>
      <c r="K18" s="11">
        <f>K19*C12</f>
        <v>0</v>
      </c>
      <c r="L18" s="11">
        <f>L19*C12</f>
        <v>0</v>
      </c>
      <c r="M18" s="11">
        <f>M19*C12</f>
        <v>0</v>
      </c>
      <c r="N18" s="11">
        <f>N19*C12</f>
        <v>0</v>
      </c>
    </row>
    <row r="19" spans="2:14" outlineLevel="1" x14ac:dyDescent="0.25">
      <c r="B19" s="21" t="s">
        <v>47</v>
      </c>
      <c r="C19" s="49">
        <f>C10</f>
        <v>497.33333333333331</v>
      </c>
      <c r="D19" s="49">
        <f>C19+$C$10</f>
        <v>994.66666666666663</v>
      </c>
      <c r="E19" s="49">
        <f>D19+$C$10</f>
        <v>1492</v>
      </c>
      <c r="F19" s="49">
        <f t="shared" ref="F19:H19" si="1">E19+$C$10</f>
        <v>1989.3333333333333</v>
      </c>
      <c r="G19" s="49">
        <f t="shared" si="1"/>
        <v>2486.6666666666665</v>
      </c>
      <c r="H19" s="49">
        <f t="shared" si="1"/>
        <v>2984</v>
      </c>
      <c r="I19" s="49">
        <v>0</v>
      </c>
      <c r="J19" s="49">
        <v>0</v>
      </c>
      <c r="K19" s="49">
        <v>0</v>
      </c>
      <c r="L19" s="49">
        <v>0</v>
      </c>
      <c r="M19" s="49">
        <v>0</v>
      </c>
      <c r="N19" s="49">
        <v>0</v>
      </c>
    </row>
    <row r="21" spans="2:14" x14ac:dyDescent="0.25">
      <c r="B21" s="12" t="s">
        <v>50</v>
      </c>
      <c r="C21" s="13">
        <f>SUM(C17)</f>
        <v>144.22666666666666</v>
      </c>
      <c r="D21" s="13">
        <f t="shared" ref="D21:N21" si="2">SUM(D17)</f>
        <v>288.45333333333332</v>
      </c>
      <c r="E21" s="13">
        <f t="shared" si="2"/>
        <v>432.67999999999995</v>
      </c>
      <c r="F21" s="13">
        <f t="shared" si="2"/>
        <v>576.90666666666664</v>
      </c>
      <c r="G21" s="13">
        <f t="shared" si="2"/>
        <v>721.13333333333321</v>
      </c>
      <c r="H21" s="13">
        <f t="shared" si="2"/>
        <v>865.3599999999999</v>
      </c>
      <c r="I21" s="13">
        <f t="shared" si="2"/>
        <v>0</v>
      </c>
      <c r="J21" s="13">
        <f t="shared" si="2"/>
        <v>0</v>
      </c>
      <c r="K21" s="13">
        <f t="shared" si="2"/>
        <v>0</v>
      </c>
      <c r="L21" s="13">
        <f t="shared" si="2"/>
        <v>0</v>
      </c>
      <c r="M21" s="13">
        <f t="shared" si="2"/>
        <v>0</v>
      </c>
      <c r="N21" s="13">
        <f t="shared" si="2"/>
        <v>0</v>
      </c>
    </row>
    <row r="23" spans="2:14" x14ac:dyDescent="0.25">
      <c r="B23" s="10" t="s">
        <v>51</v>
      </c>
      <c r="C23" s="67">
        <v>44013</v>
      </c>
      <c r="D23" s="67">
        <v>44044</v>
      </c>
      <c r="E23" s="67">
        <v>44075</v>
      </c>
      <c r="F23" s="67">
        <v>44105</v>
      </c>
      <c r="G23" s="67">
        <v>44136</v>
      </c>
      <c r="H23" s="67">
        <v>44166</v>
      </c>
      <c r="I23" s="68">
        <v>44197</v>
      </c>
      <c r="J23" s="68">
        <v>44228</v>
      </c>
      <c r="K23" s="68">
        <v>44256</v>
      </c>
      <c r="L23" s="68">
        <v>44287</v>
      </c>
      <c r="M23" s="68">
        <v>44317</v>
      </c>
      <c r="N23" s="68">
        <v>44348</v>
      </c>
    </row>
    <row r="24" spans="2:14" x14ac:dyDescent="0.25">
      <c r="B24" s="22" t="s">
        <v>52</v>
      </c>
      <c r="C24" s="24">
        <f>SUM(C25)</f>
        <v>0</v>
      </c>
      <c r="D24" s="24">
        <f t="shared" ref="D24:N24" si="3">SUM(D25)</f>
        <v>0</v>
      </c>
      <c r="E24" s="24">
        <f t="shared" si="3"/>
        <v>0</v>
      </c>
      <c r="F24" s="24">
        <f t="shared" si="3"/>
        <v>0</v>
      </c>
      <c r="G24" s="24">
        <f t="shared" si="3"/>
        <v>0</v>
      </c>
      <c r="H24" s="24">
        <f t="shared" si="3"/>
        <v>0</v>
      </c>
      <c r="I24" s="24">
        <f t="shared" si="3"/>
        <v>0</v>
      </c>
      <c r="J24" s="24">
        <f t="shared" si="3"/>
        <v>0</v>
      </c>
      <c r="K24" s="24">
        <f t="shared" si="3"/>
        <v>0</v>
      </c>
      <c r="L24" s="24">
        <f t="shared" si="3"/>
        <v>0</v>
      </c>
      <c r="M24" s="24">
        <f t="shared" si="3"/>
        <v>0</v>
      </c>
      <c r="N24" s="24">
        <f t="shared" si="3"/>
        <v>0</v>
      </c>
    </row>
    <row r="25" spans="2:14" outlineLevel="1" x14ac:dyDescent="0.25">
      <c r="B25" s="25" t="s">
        <v>43</v>
      </c>
      <c r="C25" s="26">
        <f>$C$10*$C$11</f>
        <v>0</v>
      </c>
      <c r="D25" s="26">
        <f t="shared" ref="D25:M25" si="4">$C$10*$C$11</f>
        <v>0</v>
      </c>
      <c r="E25" s="26">
        <f t="shared" si="4"/>
        <v>0</v>
      </c>
      <c r="F25" s="26">
        <f t="shared" si="4"/>
        <v>0</v>
      </c>
      <c r="G25" s="26">
        <f t="shared" si="4"/>
        <v>0</v>
      </c>
      <c r="H25" s="26">
        <f t="shared" si="4"/>
        <v>0</v>
      </c>
      <c r="I25" s="26">
        <f t="shared" si="4"/>
        <v>0</v>
      </c>
      <c r="J25" s="26">
        <f t="shared" si="4"/>
        <v>0</v>
      </c>
      <c r="K25" s="26">
        <f t="shared" si="4"/>
        <v>0</v>
      </c>
      <c r="L25" s="26">
        <f t="shared" si="4"/>
        <v>0</v>
      </c>
      <c r="M25" s="26">
        <f t="shared" si="4"/>
        <v>0</v>
      </c>
      <c r="N25" s="26">
        <f>$C$10*$C$11</f>
        <v>0</v>
      </c>
    </row>
    <row r="26" spans="2:14" x14ac:dyDescent="0.25">
      <c r="B26" s="22" t="s">
        <v>48</v>
      </c>
      <c r="C26" s="47">
        <f>C27-C19</f>
        <v>8343.6666666666661</v>
      </c>
      <c r="D26" s="47">
        <f>D27-$C$10</f>
        <v>7846.333333333333</v>
      </c>
      <c r="E26" s="47">
        <f t="shared" ref="E26:H26" si="5">E27-$C$10</f>
        <v>7349</v>
      </c>
      <c r="F26" s="47">
        <f t="shared" si="5"/>
        <v>6851.666666666667</v>
      </c>
      <c r="G26" s="47">
        <f t="shared" si="5"/>
        <v>6354.3333333333339</v>
      </c>
      <c r="H26" s="47">
        <f t="shared" si="5"/>
        <v>5857.0000000000009</v>
      </c>
      <c r="I26" s="47">
        <f>I27-I19</f>
        <v>5857.0000000000009</v>
      </c>
      <c r="J26" s="47">
        <f t="shared" ref="J26:N26" si="6">J27-J19</f>
        <v>5857.0000000000009</v>
      </c>
      <c r="K26" s="47">
        <f t="shared" si="6"/>
        <v>5857.0000000000009</v>
      </c>
      <c r="L26" s="47">
        <f t="shared" si="6"/>
        <v>5857.0000000000009</v>
      </c>
      <c r="M26" s="47">
        <f t="shared" si="6"/>
        <v>5857.0000000000009</v>
      </c>
      <c r="N26" s="47">
        <f t="shared" si="6"/>
        <v>5857.0000000000009</v>
      </c>
    </row>
    <row r="27" spans="2:14" outlineLevel="1" x14ac:dyDescent="0.25">
      <c r="B27" s="25" t="s">
        <v>44</v>
      </c>
      <c r="C27" s="48">
        <f>C7</f>
        <v>8841</v>
      </c>
      <c r="D27" s="48">
        <f>C26</f>
        <v>8343.6666666666661</v>
      </c>
      <c r="E27" s="48">
        <f t="shared" ref="E27:N27" si="7">D26</f>
        <v>7846.333333333333</v>
      </c>
      <c r="F27" s="48">
        <f t="shared" si="7"/>
        <v>7349</v>
      </c>
      <c r="G27" s="48">
        <f t="shared" si="7"/>
        <v>6851.666666666667</v>
      </c>
      <c r="H27" s="48">
        <f t="shared" si="7"/>
        <v>6354.3333333333339</v>
      </c>
      <c r="I27" s="48">
        <f>H26</f>
        <v>5857.0000000000009</v>
      </c>
      <c r="J27" s="48">
        <f t="shared" si="7"/>
        <v>5857.0000000000009</v>
      </c>
      <c r="K27" s="48">
        <f t="shared" si="7"/>
        <v>5857.0000000000009</v>
      </c>
      <c r="L27" s="48">
        <f t="shared" si="7"/>
        <v>5857.0000000000009</v>
      </c>
      <c r="M27" s="48">
        <f t="shared" si="7"/>
        <v>5857.0000000000009</v>
      </c>
      <c r="N27" s="48">
        <f t="shared" si="7"/>
        <v>5857.0000000000009</v>
      </c>
    </row>
    <row r="28" spans="2:14" outlineLevel="1" x14ac:dyDescent="0.25">
      <c r="B28" s="22" t="s">
        <v>58</v>
      </c>
      <c r="C28" s="24">
        <f t="shared" ref="C28:M28" si="8">SUM(C29)</f>
        <v>2563.89</v>
      </c>
      <c r="D28" s="24">
        <f t="shared" si="8"/>
        <v>2419.663333333333</v>
      </c>
      <c r="E28" s="24">
        <f t="shared" si="8"/>
        <v>2275.4366666666665</v>
      </c>
      <c r="F28" s="24">
        <f t="shared" si="8"/>
        <v>2131.21</v>
      </c>
      <c r="G28" s="24">
        <f t="shared" si="8"/>
        <v>1986.9833333333333</v>
      </c>
      <c r="H28" s="24">
        <f t="shared" si="8"/>
        <v>1842.7566666666667</v>
      </c>
      <c r="I28" s="24">
        <f t="shared" si="8"/>
        <v>1842.7566666666667</v>
      </c>
      <c r="J28" s="24">
        <f t="shared" si="8"/>
        <v>1842.7566666666667</v>
      </c>
      <c r="K28" s="24">
        <f t="shared" si="8"/>
        <v>1842.7566666666667</v>
      </c>
      <c r="L28" s="24">
        <f t="shared" si="8"/>
        <v>1842.7566666666667</v>
      </c>
      <c r="M28" s="24">
        <f t="shared" si="8"/>
        <v>1842.7566666666667</v>
      </c>
      <c r="N28" s="24">
        <f>SUM(N29)</f>
        <v>1842.7566666666667</v>
      </c>
    </row>
    <row r="29" spans="2:14" x14ac:dyDescent="0.25">
      <c r="B29" s="25" t="s">
        <v>60</v>
      </c>
      <c r="C29" s="26">
        <f t="shared" ref="C29:G29" si="9">C27*$C$12</f>
        <v>2563.89</v>
      </c>
      <c r="D29" s="26">
        <f t="shared" si="9"/>
        <v>2419.663333333333</v>
      </c>
      <c r="E29" s="26">
        <f t="shared" si="9"/>
        <v>2275.4366666666665</v>
      </c>
      <c r="F29" s="26">
        <f t="shared" si="9"/>
        <v>2131.21</v>
      </c>
      <c r="G29" s="26">
        <f t="shared" si="9"/>
        <v>1986.9833333333333</v>
      </c>
      <c r="H29" s="26">
        <f>H27*$C$12</f>
        <v>1842.7566666666667</v>
      </c>
      <c r="I29" s="26">
        <f t="shared" ref="I29:N29" si="10">H29</f>
        <v>1842.7566666666667</v>
      </c>
      <c r="J29" s="26">
        <f t="shared" si="10"/>
        <v>1842.7566666666667</v>
      </c>
      <c r="K29" s="26">
        <f t="shared" si="10"/>
        <v>1842.7566666666667</v>
      </c>
      <c r="L29" s="26">
        <f t="shared" si="10"/>
        <v>1842.7566666666667</v>
      </c>
      <c r="M29" s="26">
        <f t="shared" si="10"/>
        <v>1842.7566666666667</v>
      </c>
      <c r="N29" s="26">
        <f t="shared" si="10"/>
        <v>1842.7566666666667</v>
      </c>
    </row>
    <row r="31" spans="2:14" x14ac:dyDescent="0.25">
      <c r="B31" s="10" t="s">
        <v>55</v>
      </c>
      <c r="C31" s="67">
        <v>44013</v>
      </c>
      <c r="D31" s="67">
        <v>44044</v>
      </c>
      <c r="E31" s="67">
        <v>44075</v>
      </c>
      <c r="F31" s="67">
        <v>44105</v>
      </c>
      <c r="G31" s="67">
        <v>44136</v>
      </c>
      <c r="H31" s="67">
        <v>44166</v>
      </c>
      <c r="I31" s="68">
        <v>44197</v>
      </c>
      <c r="J31" s="68">
        <v>44228</v>
      </c>
      <c r="K31" s="68">
        <v>44256</v>
      </c>
      <c r="L31" s="68">
        <v>44287</v>
      </c>
      <c r="M31" s="68">
        <v>44317</v>
      </c>
      <c r="N31" s="68">
        <v>44348</v>
      </c>
    </row>
    <row r="32" spans="2:14" x14ac:dyDescent="0.25">
      <c r="B32" s="22" t="s">
        <v>56</v>
      </c>
      <c r="C32" s="24">
        <f>SUM(C33)</f>
        <v>0</v>
      </c>
      <c r="D32" s="24">
        <f t="shared" ref="D32:N32" si="11">SUM(D33)</f>
        <v>0</v>
      </c>
      <c r="E32" s="24">
        <f t="shared" si="11"/>
        <v>0</v>
      </c>
      <c r="F32" s="24">
        <f t="shared" si="11"/>
        <v>0</v>
      </c>
      <c r="G32" s="24">
        <f t="shared" si="11"/>
        <v>0</v>
      </c>
      <c r="H32" s="24">
        <f t="shared" si="11"/>
        <v>0</v>
      </c>
      <c r="I32" s="24">
        <f t="shared" si="11"/>
        <v>360.56666666666661</v>
      </c>
      <c r="J32" s="24">
        <f t="shared" si="11"/>
        <v>360.56666666666661</v>
      </c>
      <c r="K32" s="24">
        <f t="shared" si="11"/>
        <v>360.56666666666661</v>
      </c>
      <c r="L32" s="24">
        <f t="shared" si="11"/>
        <v>360.56666666666661</v>
      </c>
      <c r="M32" s="24">
        <f t="shared" si="11"/>
        <v>721.13333333333321</v>
      </c>
      <c r="N32" s="24">
        <f t="shared" si="11"/>
        <v>721.13333333333321</v>
      </c>
    </row>
    <row r="33" spans="2:15" x14ac:dyDescent="0.25">
      <c r="B33" s="25" t="s">
        <v>63</v>
      </c>
      <c r="C33" s="26">
        <v>0</v>
      </c>
      <c r="D33" s="26">
        <v>0</v>
      </c>
      <c r="E33" s="26">
        <v>0</v>
      </c>
      <c r="F33" s="26">
        <v>0</v>
      </c>
      <c r="G33" s="26">
        <f>$C$10*$C$11</f>
        <v>0</v>
      </c>
      <c r="H33" s="26">
        <f>$C$10*$C$11</f>
        <v>0</v>
      </c>
      <c r="I33" s="26">
        <f>('Analisis de Costos'!$D$20-Flujo!I28)/2</f>
        <v>360.56666666666661</v>
      </c>
      <c r="J33" s="26">
        <f>('Analisis de Costos'!$D$20-Flujo!J28)/2</f>
        <v>360.56666666666661</v>
      </c>
      <c r="K33" s="26">
        <f>('Analisis de Costos'!$D$20-Flujo!K28)/2</f>
        <v>360.56666666666661</v>
      </c>
      <c r="L33" s="26">
        <f>('Analisis de Costos'!$D$20-Flujo!L28)/2</f>
        <v>360.56666666666661</v>
      </c>
      <c r="M33" s="26">
        <f>'Analisis de Costos'!$D$20-Flujo!M28</f>
        <v>721.13333333333321</v>
      </c>
      <c r="N33" s="26">
        <f>'Analisis de Costos'!$D$20-Flujo!N28</f>
        <v>721.13333333333321</v>
      </c>
    </row>
    <row r="34" spans="2:15" x14ac:dyDescent="0.25">
      <c r="B34" s="25" t="s">
        <v>65</v>
      </c>
      <c r="C34" s="60">
        <f>C33/C13</f>
        <v>0</v>
      </c>
      <c r="D34" s="60">
        <f>D33/C13</f>
        <v>0</v>
      </c>
      <c r="E34" s="60">
        <f>E33/C13</f>
        <v>0</v>
      </c>
      <c r="F34" s="60">
        <f>F33/C13</f>
        <v>0</v>
      </c>
      <c r="G34" s="60">
        <f>G33/C13</f>
        <v>0</v>
      </c>
      <c r="H34" s="60">
        <f>H33/C13</f>
        <v>0</v>
      </c>
      <c r="I34" s="60">
        <f>I33/C13</f>
        <v>3079.134642755479</v>
      </c>
      <c r="J34" s="60">
        <f>J33/C13</f>
        <v>3079.134642755479</v>
      </c>
      <c r="K34" s="60">
        <f>K33/C13</f>
        <v>3079.134642755479</v>
      </c>
      <c r="L34" s="60">
        <f>L33/C13</f>
        <v>3079.134642755479</v>
      </c>
      <c r="M34" s="60">
        <f>M33/C13</f>
        <v>6158.2692855109581</v>
      </c>
      <c r="N34" s="60">
        <f>N33/C13</f>
        <v>6158.2692855109581</v>
      </c>
    </row>
    <row r="35" spans="2:15" x14ac:dyDescent="0.25">
      <c r="B35" s="22" t="s">
        <v>62</v>
      </c>
      <c r="C35" s="57">
        <f>C36</f>
        <v>144.22666666666666</v>
      </c>
      <c r="D35" s="57">
        <f t="shared" ref="D35:N35" si="12">D36</f>
        <v>288.45333333333332</v>
      </c>
      <c r="E35" s="57">
        <f t="shared" si="12"/>
        <v>432.67999999999995</v>
      </c>
      <c r="F35" s="57">
        <f t="shared" si="12"/>
        <v>576.90666666666664</v>
      </c>
      <c r="G35" s="57">
        <f t="shared" si="12"/>
        <v>721.13333333333321</v>
      </c>
      <c r="H35" s="57">
        <f t="shared" si="12"/>
        <v>865.3599999999999</v>
      </c>
      <c r="I35" s="57">
        <f t="shared" si="12"/>
        <v>360.56666666666661</v>
      </c>
      <c r="J35" s="57">
        <f t="shared" si="12"/>
        <v>360.56666666666661</v>
      </c>
      <c r="K35" s="57">
        <f t="shared" si="12"/>
        <v>360.56666666666661</v>
      </c>
      <c r="L35" s="57">
        <f t="shared" si="12"/>
        <v>360.56666666666661</v>
      </c>
      <c r="M35" s="57">
        <f t="shared" si="12"/>
        <v>0</v>
      </c>
      <c r="N35" s="57">
        <f t="shared" si="12"/>
        <v>0</v>
      </c>
    </row>
    <row r="36" spans="2:15" x14ac:dyDescent="0.25">
      <c r="B36" s="25" t="s">
        <v>64</v>
      </c>
      <c r="C36" s="58">
        <f>C37*$C$14</f>
        <v>144.22666666666666</v>
      </c>
      <c r="D36" s="58">
        <f>D37*$C$14</f>
        <v>288.45333333333332</v>
      </c>
      <c r="E36" s="58">
        <f t="shared" ref="E36:N36" si="13">E37*$C$14</f>
        <v>432.67999999999995</v>
      </c>
      <c r="F36" s="58">
        <f t="shared" si="13"/>
        <v>576.90666666666664</v>
      </c>
      <c r="G36" s="58">
        <f t="shared" si="13"/>
        <v>721.13333333333321</v>
      </c>
      <c r="H36" s="58">
        <f t="shared" si="13"/>
        <v>865.3599999999999</v>
      </c>
      <c r="I36" s="58">
        <f>('Analisis de Costos'!$D$20-Flujo!I28)/2</f>
        <v>360.56666666666661</v>
      </c>
      <c r="J36" s="58">
        <f>('Analisis de Costos'!$D$20-Flujo!J28)/2</f>
        <v>360.56666666666661</v>
      </c>
      <c r="K36" s="58">
        <f>('Analisis de Costos'!$D$20-Flujo!K28)/2</f>
        <v>360.56666666666661</v>
      </c>
      <c r="L36" s="58">
        <f>('Analisis de Costos'!$D$20-Flujo!L28)/2</f>
        <v>360.56666666666661</v>
      </c>
      <c r="M36" s="58">
        <f t="shared" si="13"/>
        <v>0</v>
      </c>
      <c r="N36" s="58">
        <f t="shared" si="13"/>
        <v>0</v>
      </c>
    </row>
    <row r="37" spans="2:15" x14ac:dyDescent="0.25">
      <c r="B37" s="25" t="s">
        <v>68</v>
      </c>
      <c r="C37" s="60">
        <f t="shared" ref="C37:G37" si="14">C21/$C$14</f>
        <v>576.90666666666664</v>
      </c>
      <c r="D37" s="60">
        <f t="shared" si="14"/>
        <v>1153.8133333333333</v>
      </c>
      <c r="E37" s="60">
        <f t="shared" si="14"/>
        <v>1730.7199999999998</v>
      </c>
      <c r="F37" s="60">
        <f t="shared" si="14"/>
        <v>2307.6266666666666</v>
      </c>
      <c r="G37" s="60">
        <f t="shared" si="14"/>
        <v>2884.5333333333328</v>
      </c>
      <c r="H37" s="60">
        <f>H21/$C$14</f>
        <v>3461.4399999999996</v>
      </c>
      <c r="I37" s="60">
        <f>I36/$C$14</f>
        <v>1442.2666666666664</v>
      </c>
      <c r="J37" s="60">
        <f>J36/$C$14</f>
        <v>1442.2666666666664</v>
      </c>
      <c r="K37" s="60">
        <f t="shared" ref="K37:L37" si="15">K36/$C$14</f>
        <v>1442.2666666666664</v>
      </c>
      <c r="L37" s="60">
        <f t="shared" si="15"/>
        <v>1442.2666666666664</v>
      </c>
      <c r="M37" s="60">
        <v>0</v>
      </c>
      <c r="N37" s="60">
        <v>0</v>
      </c>
    </row>
    <row r="38" spans="2:15" x14ac:dyDescent="0.25">
      <c r="B38" s="22" t="s">
        <v>57</v>
      </c>
      <c r="C38" s="24">
        <f>SUM(C39)</f>
        <v>0</v>
      </c>
      <c r="D38" s="24">
        <f t="shared" ref="D38:N38" si="16">SUM(D39)</f>
        <v>0</v>
      </c>
      <c r="E38" s="24">
        <f t="shared" si="16"/>
        <v>0</v>
      </c>
      <c r="F38" s="24">
        <f t="shared" si="16"/>
        <v>0</v>
      </c>
      <c r="G38" s="24">
        <f t="shared" si="16"/>
        <v>0</v>
      </c>
      <c r="H38" s="24">
        <f t="shared" si="16"/>
        <v>0</v>
      </c>
      <c r="I38" s="24">
        <f t="shared" si="16"/>
        <v>199</v>
      </c>
      <c r="J38" s="24">
        <f t="shared" si="16"/>
        <v>199</v>
      </c>
      <c r="K38" s="24">
        <f t="shared" si="16"/>
        <v>199</v>
      </c>
      <c r="L38" s="24">
        <f t="shared" si="16"/>
        <v>199</v>
      </c>
      <c r="M38" s="24">
        <f t="shared" si="16"/>
        <v>199</v>
      </c>
      <c r="N38" s="24">
        <f t="shared" si="16"/>
        <v>199</v>
      </c>
    </row>
    <row r="39" spans="2:15" x14ac:dyDescent="0.25">
      <c r="B39" s="25" t="s">
        <v>59</v>
      </c>
      <c r="C39" s="26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199</v>
      </c>
      <c r="J39" s="26">
        <f>I39</f>
        <v>199</v>
      </c>
      <c r="K39" s="26">
        <f>J39</f>
        <v>199</v>
      </c>
      <c r="L39" s="26">
        <f>K39</f>
        <v>199</v>
      </c>
      <c r="M39" s="26">
        <f>L39</f>
        <v>199</v>
      </c>
      <c r="N39" s="26">
        <f>M39</f>
        <v>199</v>
      </c>
    </row>
    <row r="41" spans="2:15" x14ac:dyDescent="0.25">
      <c r="B41" s="14" t="s">
        <v>53</v>
      </c>
      <c r="C41" s="15">
        <f t="shared" ref="C41:H41" si="17">C28+C24+C32+C35+C38</f>
        <v>2708.1166666666663</v>
      </c>
      <c r="D41" s="15">
        <f t="shared" si="17"/>
        <v>2708.1166666666663</v>
      </c>
      <c r="E41" s="15">
        <f t="shared" si="17"/>
        <v>2708.1166666666663</v>
      </c>
      <c r="F41" s="15">
        <f t="shared" si="17"/>
        <v>2708.1166666666668</v>
      </c>
      <c r="G41" s="15">
        <f t="shared" si="17"/>
        <v>2708.1166666666668</v>
      </c>
      <c r="H41" s="15">
        <f t="shared" si="17"/>
        <v>2708.1166666666668</v>
      </c>
      <c r="I41" s="15">
        <f t="shared" ref="I41:N41" si="18">I28+I24+I32+I35+I38</f>
        <v>2762.89</v>
      </c>
      <c r="J41" s="15">
        <f t="shared" si="18"/>
        <v>2762.89</v>
      </c>
      <c r="K41" s="15">
        <f t="shared" si="18"/>
        <v>2762.89</v>
      </c>
      <c r="L41" s="15">
        <f t="shared" si="18"/>
        <v>2762.89</v>
      </c>
      <c r="M41" s="15">
        <f t="shared" si="18"/>
        <v>2762.89</v>
      </c>
      <c r="N41" s="15">
        <f t="shared" si="18"/>
        <v>2762.89</v>
      </c>
      <c r="O41" s="15">
        <f>SUM(C41:N41)</f>
        <v>32826.04</v>
      </c>
    </row>
    <row r="42" spans="2:15" x14ac:dyDescent="0.25">
      <c r="O42" s="69">
        <f>(O41/O43)-1</f>
        <v>6.6934748890683071E-2</v>
      </c>
    </row>
    <row r="43" spans="2:15" x14ac:dyDescent="0.25">
      <c r="B43" s="51" t="s">
        <v>61</v>
      </c>
      <c r="C43" s="52">
        <f>'Analisis de Costos'!D20</f>
        <v>2563.89</v>
      </c>
      <c r="D43" s="52">
        <f>C43</f>
        <v>2563.89</v>
      </c>
      <c r="E43" s="52">
        <f t="shared" ref="E43:N43" si="19">D43</f>
        <v>2563.89</v>
      </c>
      <c r="F43" s="52">
        <f t="shared" si="19"/>
        <v>2563.89</v>
      </c>
      <c r="G43" s="52">
        <f t="shared" si="19"/>
        <v>2563.89</v>
      </c>
      <c r="H43" s="52">
        <f t="shared" si="19"/>
        <v>2563.89</v>
      </c>
      <c r="I43" s="52">
        <f t="shared" si="19"/>
        <v>2563.89</v>
      </c>
      <c r="J43" s="52">
        <f t="shared" si="19"/>
        <v>2563.89</v>
      </c>
      <c r="K43" s="52">
        <f t="shared" si="19"/>
        <v>2563.89</v>
      </c>
      <c r="L43" s="52">
        <f t="shared" si="19"/>
        <v>2563.89</v>
      </c>
      <c r="M43" s="52">
        <f t="shared" si="19"/>
        <v>2563.89</v>
      </c>
      <c r="N43" s="52">
        <f t="shared" si="19"/>
        <v>2563.89</v>
      </c>
      <c r="O43" s="52">
        <f>SUM(C43:N43)</f>
        <v>30766.679999999997</v>
      </c>
    </row>
    <row r="46" spans="2:15" x14ac:dyDescent="0.25">
      <c r="B46" s="16" t="s">
        <v>54</v>
      </c>
      <c r="C46" s="53">
        <f>C43-C41</f>
        <v>-144.22666666666646</v>
      </c>
      <c r="D46" s="53">
        <f t="shared" ref="D46:N46" si="20">D43-D41</f>
        <v>-144.22666666666646</v>
      </c>
      <c r="E46" s="53">
        <f t="shared" si="20"/>
        <v>-144.22666666666646</v>
      </c>
      <c r="F46" s="53">
        <f t="shared" si="20"/>
        <v>-144.22666666666692</v>
      </c>
      <c r="G46" s="53">
        <f t="shared" si="20"/>
        <v>-144.22666666666692</v>
      </c>
      <c r="H46" s="53">
        <f t="shared" si="20"/>
        <v>-144.22666666666692</v>
      </c>
      <c r="I46" s="55">
        <f t="shared" si="20"/>
        <v>-199</v>
      </c>
      <c r="J46" s="55">
        <f t="shared" si="20"/>
        <v>-199</v>
      </c>
      <c r="K46" s="55">
        <f t="shared" si="20"/>
        <v>-199</v>
      </c>
      <c r="L46" s="55">
        <f t="shared" si="20"/>
        <v>-199</v>
      </c>
      <c r="M46" s="55">
        <f t="shared" si="20"/>
        <v>-199</v>
      </c>
      <c r="N46" s="55">
        <f t="shared" si="20"/>
        <v>-199</v>
      </c>
      <c r="O46" s="55">
        <f>SUM(C46:N46)</f>
        <v>-2059.36</v>
      </c>
    </row>
    <row r="47" spans="2:15" x14ac:dyDescent="0.25"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2:15" x14ac:dyDescent="0.25">
      <c r="C48" s="64"/>
      <c r="D48" s="86">
        <f>(D41*100)/D43</f>
        <v>105.6253063378954</v>
      </c>
      <c r="E48" s="64"/>
      <c r="F48" s="64"/>
      <c r="G48" s="64"/>
      <c r="H48" s="64"/>
      <c r="I48" s="64"/>
      <c r="J48" s="64"/>
      <c r="K48" s="64"/>
      <c r="L48" s="64"/>
      <c r="M48" s="64"/>
      <c r="N48" s="64"/>
    </row>
    <row r="49" spans="2:14" x14ac:dyDescent="0.25"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</row>
    <row r="50" spans="2:14" x14ac:dyDescent="0.25"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</row>
    <row r="51" spans="2:14" x14ac:dyDescent="0.25"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</row>
    <row r="52" spans="2:14" x14ac:dyDescent="0.25">
      <c r="B52" s="16" t="s">
        <v>76</v>
      </c>
      <c r="C52" s="56">
        <f>SUM(C46:H46)</f>
        <v>-865.36000000000013</v>
      </c>
    </row>
    <row r="53" spans="2:14" x14ac:dyDescent="0.25">
      <c r="B53" s="54" t="s">
        <v>77</v>
      </c>
      <c r="C53" s="55">
        <f>SUM(I46:N46)</f>
        <v>-1194</v>
      </c>
    </row>
    <row r="55" spans="2:14" x14ac:dyDescent="0.25">
      <c r="B55" s="61" t="s">
        <v>71</v>
      </c>
      <c r="C55" s="61">
        <v>132</v>
      </c>
    </row>
    <row r="56" spans="2:14" x14ac:dyDescent="0.25">
      <c r="B56" s="61" t="s">
        <v>72</v>
      </c>
      <c r="C56" s="61">
        <v>2270</v>
      </c>
    </row>
    <row r="57" spans="2:14" x14ac:dyDescent="0.25">
      <c r="B57" s="61" t="s">
        <v>73</v>
      </c>
      <c r="C57" s="61">
        <v>7</v>
      </c>
    </row>
    <row r="58" spans="2:14" x14ac:dyDescent="0.25">
      <c r="B58" s="9" t="s">
        <v>75</v>
      </c>
      <c r="C58" s="9">
        <f>C56*C57</f>
        <v>15890</v>
      </c>
    </row>
    <row r="60" spans="2:14" x14ac:dyDescent="0.25">
      <c r="B60" s="62" t="s">
        <v>104</v>
      </c>
      <c r="C60" s="63">
        <f>SUM(C37:L37)</f>
        <v>17884.106666666663</v>
      </c>
    </row>
    <row r="61" spans="2:14" x14ac:dyDescent="0.25">
      <c r="B61" s="62" t="s">
        <v>74</v>
      </c>
      <c r="C61" s="63">
        <f>SUM(I34:N34)</f>
        <v>24633.077142043832</v>
      </c>
    </row>
    <row r="62" spans="2:14" x14ac:dyDescent="0.25">
      <c r="B62" s="62" t="s">
        <v>105</v>
      </c>
      <c r="C62" s="63">
        <f>C9</f>
        <v>2984</v>
      </c>
    </row>
    <row r="63" spans="2:14" x14ac:dyDescent="0.25">
      <c r="B63" s="87" t="s">
        <v>106</v>
      </c>
      <c r="C63" s="88">
        <f>C7-C9</f>
        <v>5857</v>
      </c>
    </row>
    <row r="64" spans="2:14" x14ac:dyDescent="0.25">
      <c r="B64" s="101" t="s">
        <v>107</v>
      </c>
      <c r="C64" s="101"/>
    </row>
    <row r="65" spans="2:3" x14ac:dyDescent="0.25">
      <c r="B65" s="89" t="s">
        <v>108</v>
      </c>
      <c r="C65" s="90" t="s">
        <v>109</v>
      </c>
    </row>
    <row r="66" spans="2:3" x14ac:dyDescent="0.25">
      <c r="B66" s="89" t="s">
        <v>110</v>
      </c>
      <c r="C66" s="90" t="s">
        <v>109</v>
      </c>
    </row>
    <row r="67" spans="2:3" x14ac:dyDescent="0.25">
      <c r="B67" s="89" t="s">
        <v>111</v>
      </c>
      <c r="C67" s="90" t="s">
        <v>109</v>
      </c>
    </row>
    <row r="68" spans="2:3" x14ac:dyDescent="0.25">
      <c r="B68" s="89" t="s">
        <v>112</v>
      </c>
      <c r="C68" s="90" t="s">
        <v>109</v>
      </c>
    </row>
    <row r="70" spans="2:3" x14ac:dyDescent="0.25">
      <c r="B70" s="65" t="s">
        <v>79</v>
      </c>
    </row>
    <row r="75" spans="2:3" x14ac:dyDescent="0.25">
      <c r="B75" s="66" t="s">
        <v>80</v>
      </c>
    </row>
  </sheetData>
  <mergeCells count="3">
    <mergeCell ref="C47:N47"/>
    <mergeCell ref="B2:H2"/>
    <mergeCell ref="B64:C64"/>
  </mergeCells>
  <phoneticPr fontId="7" type="noConversion"/>
  <pageMargins left="0.25" right="0.25" top="0.75" bottom="0.75" header="0.3" footer="0.3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00A7F-E8C2-4AD2-A4C9-7DC70CD84A46}">
  <dimension ref="A3:N25"/>
  <sheetViews>
    <sheetView tabSelected="1" topLeftCell="A2" workbookViewId="0">
      <selection activeCell="M9" sqref="M9"/>
    </sheetView>
  </sheetViews>
  <sheetFormatPr baseColWidth="10" defaultRowHeight="15" x14ac:dyDescent="0.25"/>
  <cols>
    <col min="1" max="1" width="9.7109375" bestFit="1" customWidth="1"/>
    <col min="2" max="2" width="22.28515625" bestFit="1" customWidth="1"/>
    <col min="3" max="3" width="8.7109375" customWidth="1"/>
    <col min="4" max="4" width="12.85546875" customWidth="1"/>
    <col min="5" max="5" width="8.7109375" customWidth="1"/>
    <col min="6" max="6" width="12.85546875" customWidth="1"/>
    <col min="7" max="7" width="8.7109375" customWidth="1"/>
    <col min="8" max="8" width="12.85546875" bestFit="1" customWidth="1"/>
    <col min="10" max="10" width="12.7109375" bestFit="1" customWidth="1"/>
    <col min="12" max="12" width="12.7109375" bestFit="1" customWidth="1"/>
    <col min="14" max="14" width="12.7109375" bestFit="1" customWidth="1"/>
  </cols>
  <sheetData>
    <row r="3" spans="1:14" x14ac:dyDescent="0.25">
      <c r="A3" s="102" t="s">
        <v>115</v>
      </c>
      <c r="B3" s="103"/>
      <c r="C3" s="104" t="s">
        <v>92</v>
      </c>
      <c r="D3" s="106"/>
      <c r="E3" s="104" t="s">
        <v>93</v>
      </c>
      <c r="F3" s="106"/>
      <c r="G3" s="104" t="s">
        <v>94</v>
      </c>
      <c r="H3" s="105"/>
      <c r="I3" s="104" t="s">
        <v>95</v>
      </c>
      <c r="J3" s="106"/>
      <c r="K3" s="104" t="s">
        <v>96</v>
      </c>
      <c r="L3" s="106"/>
      <c r="M3" s="104" t="s">
        <v>97</v>
      </c>
      <c r="N3" s="105"/>
    </row>
    <row r="4" spans="1:14" x14ac:dyDescent="0.25">
      <c r="A4" s="70" t="s">
        <v>84</v>
      </c>
      <c r="B4" s="70" t="s">
        <v>85</v>
      </c>
      <c r="C4" s="70" t="s">
        <v>86</v>
      </c>
      <c r="D4" s="71" t="s">
        <v>87</v>
      </c>
      <c r="E4" s="70" t="s">
        <v>86</v>
      </c>
      <c r="F4" s="71" t="s">
        <v>87</v>
      </c>
      <c r="G4" s="70" t="s">
        <v>86</v>
      </c>
      <c r="H4" s="71" t="s">
        <v>87</v>
      </c>
      <c r="I4" s="70" t="s">
        <v>86</v>
      </c>
      <c r="J4" s="71" t="s">
        <v>87</v>
      </c>
      <c r="K4" s="70" t="s">
        <v>86</v>
      </c>
      <c r="L4" s="71" t="s">
        <v>87</v>
      </c>
      <c r="M4" s="70" t="s">
        <v>86</v>
      </c>
      <c r="N4" s="71" t="s">
        <v>87</v>
      </c>
    </row>
    <row r="5" spans="1:14" x14ac:dyDescent="0.25">
      <c r="A5" s="72">
        <f>'AJEcuador Destrucción'!$K$5</f>
        <v>0.52</v>
      </c>
      <c r="B5" s="73" t="s">
        <v>113</v>
      </c>
      <c r="C5" s="74">
        <v>6</v>
      </c>
      <c r="D5" s="91">
        <f t="shared" ref="D5:D12" si="0">C5*$A5</f>
        <v>3.12</v>
      </c>
      <c r="E5" s="74">
        <v>0</v>
      </c>
      <c r="F5" s="75">
        <f t="shared" ref="F5:F12" si="1">E5*$A5</f>
        <v>0</v>
      </c>
      <c r="G5" s="74">
        <v>0</v>
      </c>
      <c r="H5" s="75">
        <f t="shared" ref="H5:H12" si="2">G5*$A5</f>
        <v>0</v>
      </c>
      <c r="I5" s="74">
        <v>0</v>
      </c>
      <c r="J5" s="75">
        <f t="shared" ref="J5:J8" si="3">I5*$A5</f>
        <v>0</v>
      </c>
      <c r="K5" s="74">
        <v>0</v>
      </c>
      <c r="L5" s="75">
        <f t="shared" ref="L5:L12" si="4">K5*$A5</f>
        <v>0</v>
      </c>
      <c r="M5" s="74">
        <v>0</v>
      </c>
      <c r="N5" s="75">
        <f t="shared" ref="N5:N12" si="5">M5*$A5</f>
        <v>0</v>
      </c>
    </row>
    <row r="6" spans="1:14" x14ac:dyDescent="0.25">
      <c r="A6" s="72">
        <f>'AJEcuador Destrucción'!$K$6</f>
        <v>0.25</v>
      </c>
      <c r="B6" s="73" t="s">
        <v>88</v>
      </c>
      <c r="C6" s="77">
        <f>Flujo!C37</f>
        <v>576.90666666666664</v>
      </c>
      <c r="D6" s="91">
        <f t="shared" si="0"/>
        <v>144.22666666666666</v>
      </c>
      <c r="E6" s="77">
        <f>Flujo!D37</f>
        <v>1153.8133333333333</v>
      </c>
      <c r="F6" s="75">
        <f t="shared" si="1"/>
        <v>288.45333333333332</v>
      </c>
      <c r="G6" s="77">
        <f>Flujo!E37</f>
        <v>1730.7199999999998</v>
      </c>
      <c r="H6" s="75">
        <f t="shared" si="2"/>
        <v>432.67999999999995</v>
      </c>
      <c r="I6" s="77">
        <f>Flujo!F37</f>
        <v>2307.6266666666666</v>
      </c>
      <c r="J6" s="75">
        <f t="shared" si="3"/>
        <v>576.90666666666664</v>
      </c>
      <c r="K6" s="77">
        <f>Flujo!G37</f>
        <v>2884.5333333333328</v>
      </c>
      <c r="L6" s="75">
        <f t="shared" si="4"/>
        <v>721.13333333333321</v>
      </c>
      <c r="M6" s="77">
        <f>Flujo!H37</f>
        <v>3461.4399999999996</v>
      </c>
      <c r="N6" s="75">
        <f t="shared" si="5"/>
        <v>865.3599999999999</v>
      </c>
    </row>
    <row r="7" spans="1:14" x14ac:dyDescent="0.25">
      <c r="A7" s="72">
        <f>'AJEcuador Destrucción'!$K$7</f>
        <v>8.0299999999999994</v>
      </c>
      <c r="B7" s="73" t="s">
        <v>114</v>
      </c>
      <c r="C7" s="74">
        <v>1</v>
      </c>
      <c r="D7" s="91">
        <f t="shared" si="0"/>
        <v>8.0299999999999994</v>
      </c>
      <c r="E7" s="74">
        <v>0</v>
      </c>
      <c r="F7" s="75">
        <f t="shared" si="1"/>
        <v>0</v>
      </c>
      <c r="G7" s="74">
        <v>0</v>
      </c>
      <c r="H7" s="75">
        <f t="shared" si="2"/>
        <v>0</v>
      </c>
      <c r="I7" s="74">
        <v>0</v>
      </c>
      <c r="J7" s="75">
        <f t="shared" si="3"/>
        <v>0</v>
      </c>
      <c r="K7" s="74">
        <v>0</v>
      </c>
      <c r="L7" s="75">
        <f t="shared" si="4"/>
        <v>0</v>
      </c>
      <c r="M7" s="74">
        <v>0</v>
      </c>
      <c r="N7" s="75">
        <f t="shared" si="5"/>
        <v>0</v>
      </c>
    </row>
    <row r="8" spans="1:14" x14ac:dyDescent="0.25">
      <c r="A8" s="72">
        <v>0</v>
      </c>
      <c r="B8" s="73" t="s">
        <v>81</v>
      </c>
      <c r="C8" s="77">
        <f>Flujo!C19</f>
        <v>497.33333333333331</v>
      </c>
      <c r="D8" s="91">
        <f t="shared" si="0"/>
        <v>0</v>
      </c>
      <c r="E8" s="77">
        <f>C8</f>
        <v>497.33333333333331</v>
      </c>
      <c r="F8" s="75">
        <f t="shared" si="1"/>
        <v>0</v>
      </c>
      <c r="G8" s="77">
        <f>E8</f>
        <v>497.33333333333331</v>
      </c>
      <c r="H8" s="75">
        <f t="shared" si="2"/>
        <v>0</v>
      </c>
      <c r="I8" s="77">
        <f>G8</f>
        <v>497.33333333333331</v>
      </c>
      <c r="J8" s="75">
        <f t="shared" si="3"/>
        <v>0</v>
      </c>
      <c r="K8" s="77">
        <f>I8</f>
        <v>497.33333333333331</v>
      </c>
      <c r="L8" s="75">
        <f t="shared" si="4"/>
        <v>0</v>
      </c>
      <c r="M8" s="77">
        <f>K8</f>
        <v>497.33333333333331</v>
      </c>
      <c r="N8" s="75">
        <f t="shared" si="5"/>
        <v>0</v>
      </c>
    </row>
    <row r="9" spans="1:14" x14ac:dyDescent="0.25">
      <c r="A9" s="76">
        <f>'AJEcuador Destrucción'!$K$9</f>
        <v>0.28999999999999998</v>
      </c>
      <c r="B9" s="73" t="s">
        <v>89</v>
      </c>
      <c r="C9" s="77">
        <f>Flujo!C7</f>
        <v>8841</v>
      </c>
      <c r="D9" s="91">
        <f>C9*$A9</f>
        <v>2563.89</v>
      </c>
      <c r="E9" s="77">
        <f>C9-E8</f>
        <v>8343.6666666666661</v>
      </c>
      <c r="F9" s="75">
        <f t="shared" si="1"/>
        <v>2419.663333333333</v>
      </c>
      <c r="G9" s="77">
        <f>E9-G8</f>
        <v>7846.333333333333</v>
      </c>
      <c r="H9" s="75">
        <f t="shared" si="2"/>
        <v>2275.4366666666665</v>
      </c>
      <c r="I9" s="77">
        <f>G9-I8</f>
        <v>7349</v>
      </c>
      <c r="J9" s="75">
        <f>I9*$A9</f>
        <v>2131.21</v>
      </c>
      <c r="K9" s="77">
        <f>I9-K8</f>
        <v>6851.666666666667</v>
      </c>
      <c r="L9" s="75">
        <f t="shared" si="4"/>
        <v>1986.9833333333333</v>
      </c>
      <c r="M9" s="77">
        <f>K9-M8</f>
        <v>6354.3333333333339</v>
      </c>
      <c r="N9" s="75">
        <f t="shared" si="5"/>
        <v>1842.7566666666667</v>
      </c>
    </row>
    <row r="10" spans="1:14" x14ac:dyDescent="0.25">
      <c r="A10" s="72">
        <f>'AJEcuador Destrucción'!$K$4</f>
        <v>1.44</v>
      </c>
      <c r="B10" s="73" t="s">
        <v>90</v>
      </c>
      <c r="C10" s="74">
        <v>0</v>
      </c>
      <c r="D10" s="91">
        <f t="shared" si="0"/>
        <v>0</v>
      </c>
      <c r="E10" s="77">
        <v>0</v>
      </c>
      <c r="F10" s="75">
        <f t="shared" si="1"/>
        <v>0</v>
      </c>
      <c r="G10" s="77">
        <v>0</v>
      </c>
      <c r="H10" s="75">
        <f t="shared" si="2"/>
        <v>0</v>
      </c>
      <c r="I10" s="74">
        <v>0</v>
      </c>
      <c r="J10" s="75">
        <f t="shared" ref="J10:J12" si="6">I10*$A10</f>
        <v>0</v>
      </c>
      <c r="K10" s="77">
        <v>0</v>
      </c>
      <c r="L10" s="75">
        <f t="shared" si="4"/>
        <v>0</v>
      </c>
      <c r="M10" s="77">
        <v>0</v>
      </c>
      <c r="N10" s="75">
        <f t="shared" si="5"/>
        <v>0</v>
      </c>
    </row>
    <row r="11" spans="1:14" x14ac:dyDescent="0.25">
      <c r="A11" s="76">
        <f>[1]Flujo!$C$15</f>
        <v>0.1171</v>
      </c>
      <c r="B11" s="73" t="s">
        <v>91</v>
      </c>
      <c r="C11" s="74">
        <v>0</v>
      </c>
      <c r="D11" s="91">
        <f t="shared" si="0"/>
        <v>0</v>
      </c>
      <c r="E11" s="77">
        <v>0</v>
      </c>
      <c r="F11" s="75">
        <f t="shared" si="1"/>
        <v>0</v>
      </c>
      <c r="G11" s="77">
        <v>0</v>
      </c>
      <c r="H11" s="75">
        <f t="shared" si="2"/>
        <v>0</v>
      </c>
      <c r="I11" s="74">
        <v>0</v>
      </c>
      <c r="J11" s="75">
        <f t="shared" si="6"/>
        <v>0</v>
      </c>
      <c r="K11" s="77">
        <v>0</v>
      </c>
      <c r="L11" s="75">
        <f t="shared" si="4"/>
        <v>0</v>
      </c>
      <c r="M11" s="77">
        <v>0</v>
      </c>
      <c r="N11" s="75">
        <f t="shared" si="5"/>
        <v>0</v>
      </c>
    </row>
    <row r="12" spans="1:14" x14ac:dyDescent="0.25">
      <c r="A12" s="78">
        <v>199</v>
      </c>
      <c r="B12" s="79" t="s">
        <v>82</v>
      </c>
      <c r="C12" s="80">
        <v>0</v>
      </c>
      <c r="D12" s="92">
        <f t="shared" si="0"/>
        <v>0</v>
      </c>
      <c r="E12" s="80">
        <v>0</v>
      </c>
      <c r="F12" s="81">
        <f t="shared" si="1"/>
        <v>0</v>
      </c>
      <c r="G12" s="80">
        <v>0</v>
      </c>
      <c r="H12" s="81">
        <f t="shared" si="2"/>
        <v>0</v>
      </c>
      <c r="I12" s="80">
        <v>0</v>
      </c>
      <c r="J12" s="81">
        <f t="shared" si="6"/>
        <v>0</v>
      </c>
      <c r="K12" s="80">
        <v>0</v>
      </c>
      <c r="L12" s="81">
        <f t="shared" si="4"/>
        <v>0</v>
      </c>
      <c r="M12" s="80">
        <v>0</v>
      </c>
      <c r="N12" s="81">
        <f t="shared" si="5"/>
        <v>0</v>
      </c>
    </row>
    <row r="13" spans="1:14" x14ac:dyDescent="0.25">
      <c r="A13" s="94"/>
      <c r="B13" s="95"/>
      <c r="C13" s="93"/>
      <c r="D13" s="85">
        <f>SUM(D5:D12)</f>
        <v>2719.2666666666664</v>
      </c>
      <c r="E13" s="84"/>
      <c r="F13" s="85">
        <f>SUM(F5:F12)</f>
        <v>2708.1166666666663</v>
      </c>
      <c r="G13" s="84"/>
      <c r="H13" s="85">
        <f>SUM(H5:H12)</f>
        <v>2708.1166666666663</v>
      </c>
      <c r="I13" s="84"/>
      <c r="J13" s="85">
        <f>SUM(J5:J12)</f>
        <v>2708.1166666666668</v>
      </c>
      <c r="K13" s="84"/>
      <c r="L13" s="85">
        <f>SUM(L5:L12)</f>
        <v>2708.1166666666668</v>
      </c>
      <c r="M13" s="84"/>
      <c r="N13" s="85">
        <f>SUM(N5:N12)</f>
        <v>2708.1166666666668</v>
      </c>
    </row>
    <row r="14" spans="1:14" x14ac:dyDescent="0.25">
      <c r="A14" s="96"/>
      <c r="B14" s="96"/>
    </row>
    <row r="15" spans="1:14" x14ac:dyDescent="0.25">
      <c r="C15" s="104" t="s">
        <v>98</v>
      </c>
      <c r="D15" s="106"/>
      <c r="E15" s="104" t="s">
        <v>99</v>
      </c>
      <c r="F15" s="106"/>
      <c r="G15" s="104" t="s">
        <v>100</v>
      </c>
      <c r="H15" s="105"/>
      <c r="I15" s="104" t="s">
        <v>101</v>
      </c>
      <c r="J15" s="106"/>
      <c r="K15" s="104" t="s">
        <v>102</v>
      </c>
      <c r="L15" s="106"/>
      <c r="M15" s="104" t="s">
        <v>103</v>
      </c>
      <c r="N15" s="105"/>
    </row>
    <row r="16" spans="1:14" x14ac:dyDescent="0.25">
      <c r="A16" s="70" t="s">
        <v>84</v>
      </c>
      <c r="B16" s="70" t="s">
        <v>85</v>
      </c>
      <c r="C16" s="70" t="s">
        <v>86</v>
      </c>
      <c r="D16" s="71" t="s">
        <v>87</v>
      </c>
      <c r="E16" s="70" t="s">
        <v>86</v>
      </c>
      <c r="F16" s="71" t="s">
        <v>87</v>
      </c>
      <c r="G16" s="70" t="s">
        <v>86</v>
      </c>
      <c r="H16" s="71" t="s">
        <v>87</v>
      </c>
      <c r="I16" s="70" t="s">
        <v>86</v>
      </c>
      <c r="J16" s="71" t="s">
        <v>87</v>
      </c>
      <c r="K16" s="70" t="s">
        <v>86</v>
      </c>
      <c r="L16" s="71" t="s">
        <v>87</v>
      </c>
      <c r="M16" s="70" t="s">
        <v>86</v>
      </c>
      <c r="N16" s="71" t="s">
        <v>87</v>
      </c>
    </row>
    <row r="17" spans="1:14" x14ac:dyDescent="0.25">
      <c r="A17" s="72">
        <f>'AJEcuador Destrucción'!$K$5</f>
        <v>0.52</v>
      </c>
      <c r="B17" s="73" t="s">
        <v>113</v>
      </c>
      <c r="C17" s="74">
        <v>0</v>
      </c>
      <c r="D17" s="75">
        <f t="shared" ref="D17:D20" si="7">C17*$A17</f>
        <v>0</v>
      </c>
      <c r="E17" s="74">
        <v>0</v>
      </c>
      <c r="F17" s="75">
        <f t="shared" ref="F17:F24" si="8">E17*$A17</f>
        <v>0</v>
      </c>
      <c r="G17" s="74">
        <v>0</v>
      </c>
      <c r="H17" s="75">
        <f t="shared" ref="H17:H24" si="9">G17*$A17</f>
        <v>0</v>
      </c>
      <c r="I17" s="74">
        <v>0</v>
      </c>
      <c r="J17" s="75">
        <f t="shared" ref="J17:J20" si="10">I17*$A17</f>
        <v>0</v>
      </c>
      <c r="K17" s="74">
        <v>0</v>
      </c>
      <c r="L17" s="75">
        <f t="shared" ref="L17:L24" si="11">K17*$A17</f>
        <v>0</v>
      </c>
      <c r="M17" s="74">
        <v>0</v>
      </c>
      <c r="N17" s="75">
        <f t="shared" ref="N17:N24" si="12">M17*$A17</f>
        <v>0</v>
      </c>
    </row>
    <row r="18" spans="1:14" x14ac:dyDescent="0.25">
      <c r="A18" s="72">
        <f>'AJEcuador Destrucción'!$K$6</f>
        <v>0.25</v>
      </c>
      <c r="B18" s="73" t="s">
        <v>88</v>
      </c>
      <c r="C18" s="77">
        <f>Flujo!I37</f>
        <v>1442.2666666666664</v>
      </c>
      <c r="D18" s="75">
        <f t="shared" si="7"/>
        <v>360.56666666666661</v>
      </c>
      <c r="E18" s="77">
        <f>Flujo!J37</f>
        <v>1442.2666666666664</v>
      </c>
      <c r="F18" s="75">
        <f t="shared" si="8"/>
        <v>360.56666666666661</v>
      </c>
      <c r="G18" s="77">
        <f>Flujo!K37</f>
        <v>1442.2666666666664</v>
      </c>
      <c r="H18" s="75">
        <f t="shared" si="9"/>
        <v>360.56666666666661</v>
      </c>
      <c r="I18" s="77">
        <f>Flujo!L37</f>
        <v>1442.2666666666664</v>
      </c>
      <c r="J18" s="75">
        <f t="shared" si="10"/>
        <v>360.56666666666661</v>
      </c>
      <c r="K18" s="77">
        <f>Flujo!G49</f>
        <v>0</v>
      </c>
      <c r="L18" s="75">
        <f t="shared" si="11"/>
        <v>0</v>
      </c>
      <c r="M18" s="77">
        <f>Flujo!H49</f>
        <v>0</v>
      </c>
      <c r="N18" s="75">
        <f t="shared" si="12"/>
        <v>0</v>
      </c>
    </row>
    <row r="19" spans="1:14" x14ac:dyDescent="0.25">
      <c r="A19" s="72">
        <f>'AJEcuador Destrucción'!$K$7</f>
        <v>8.0299999999999994</v>
      </c>
      <c r="B19" s="73" t="s">
        <v>114</v>
      </c>
      <c r="C19" s="74">
        <v>0</v>
      </c>
      <c r="D19" s="75">
        <f t="shared" si="7"/>
        <v>0</v>
      </c>
      <c r="E19" s="74">
        <v>0</v>
      </c>
      <c r="F19" s="75">
        <f t="shared" si="8"/>
        <v>0</v>
      </c>
      <c r="G19" s="74">
        <v>0</v>
      </c>
      <c r="H19" s="75">
        <f t="shared" si="9"/>
        <v>0</v>
      </c>
      <c r="I19" s="74">
        <v>0</v>
      </c>
      <c r="J19" s="75">
        <f t="shared" si="10"/>
        <v>0</v>
      </c>
      <c r="K19" s="74">
        <v>0</v>
      </c>
      <c r="L19" s="75">
        <f t="shared" si="11"/>
        <v>0</v>
      </c>
      <c r="M19" s="74">
        <v>0</v>
      </c>
      <c r="N19" s="75">
        <f t="shared" si="12"/>
        <v>0</v>
      </c>
    </row>
    <row r="20" spans="1:14" x14ac:dyDescent="0.25">
      <c r="A20" s="72">
        <v>0</v>
      </c>
      <c r="B20" s="73" t="s">
        <v>81</v>
      </c>
      <c r="C20" s="77">
        <v>0</v>
      </c>
      <c r="D20" s="75">
        <f t="shared" si="7"/>
        <v>0</v>
      </c>
      <c r="E20" s="77">
        <f>C20</f>
        <v>0</v>
      </c>
      <c r="F20" s="75">
        <f t="shared" si="8"/>
        <v>0</v>
      </c>
      <c r="G20" s="77">
        <f>E20</f>
        <v>0</v>
      </c>
      <c r="H20" s="75">
        <f t="shared" si="9"/>
        <v>0</v>
      </c>
      <c r="I20" s="77">
        <f>G20</f>
        <v>0</v>
      </c>
      <c r="J20" s="75">
        <f t="shared" si="10"/>
        <v>0</v>
      </c>
      <c r="K20" s="77">
        <f>I20</f>
        <v>0</v>
      </c>
      <c r="L20" s="75">
        <f t="shared" si="11"/>
        <v>0</v>
      </c>
      <c r="M20" s="77">
        <f>K20</f>
        <v>0</v>
      </c>
      <c r="N20" s="75">
        <f t="shared" si="12"/>
        <v>0</v>
      </c>
    </row>
    <row r="21" spans="1:14" x14ac:dyDescent="0.25">
      <c r="A21" s="76">
        <f>'AJEcuador Destrucción'!$K$9</f>
        <v>0.28999999999999998</v>
      </c>
      <c r="B21" s="73" t="s">
        <v>89</v>
      </c>
      <c r="C21" s="77">
        <f>M9</f>
        <v>6354.3333333333339</v>
      </c>
      <c r="D21" s="75">
        <f>C21*$A21</f>
        <v>1842.7566666666667</v>
      </c>
      <c r="E21" s="77">
        <f>C21-E20</f>
        <v>6354.3333333333339</v>
      </c>
      <c r="F21" s="75">
        <f t="shared" si="8"/>
        <v>1842.7566666666667</v>
      </c>
      <c r="G21" s="77">
        <f>E21-G20</f>
        <v>6354.3333333333339</v>
      </c>
      <c r="H21" s="75">
        <f t="shared" si="9"/>
        <v>1842.7566666666667</v>
      </c>
      <c r="I21" s="77">
        <f>G21-I20</f>
        <v>6354.3333333333339</v>
      </c>
      <c r="J21" s="75">
        <f>I21*$A21</f>
        <v>1842.7566666666667</v>
      </c>
      <c r="K21" s="77">
        <f>I21-K20</f>
        <v>6354.3333333333339</v>
      </c>
      <c r="L21" s="75">
        <f t="shared" si="11"/>
        <v>1842.7566666666667</v>
      </c>
      <c r="M21" s="77">
        <f>K21-M20</f>
        <v>6354.3333333333339</v>
      </c>
      <c r="N21" s="75">
        <f t="shared" si="12"/>
        <v>1842.7566666666667</v>
      </c>
    </row>
    <row r="22" spans="1:14" x14ac:dyDescent="0.25">
      <c r="A22" s="72">
        <f>'AJEcuador Destrucción'!$K$4</f>
        <v>1.44</v>
      </c>
      <c r="B22" s="73" t="s">
        <v>90</v>
      </c>
      <c r="C22" s="74">
        <v>0</v>
      </c>
      <c r="D22" s="75">
        <f t="shared" ref="D22:D24" si="13">C22*$A22</f>
        <v>0</v>
      </c>
      <c r="E22" s="77">
        <v>0</v>
      </c>
      <c r="F22" s="75">
        <f t="shared" si="8"/>
        <v>0</v>
      </c>
      <c r="G22" s="77">
        <v>0</v>
      </c>
      <c r="H22" s="75">
        <f t="shared" si="9"/>
        <v>0</v>
      </c>
      <c r="I22" s="74">
        <v>0</v>
      </c>
      <c r="J22" s="75">
        <f t="shared" ref="J22:J24" si="14">I22*$A22</f>
        <v>0</v>
      </c>
      <c r="K22" s="77">
        <v>0</v>
      </c>
      <c r="L22" s="75">
        <f t="shared" si="11"/>
        <v>0</v>
      </c>
      <c r="M22" s="77">
        <v>0</v>
      </c>
      <c r="N22" s="75">
        <f t="shared" si="12"/>
        <v>0</v>
      </c>
    </row>
    <row r="23" spans="1:14" x14ac:dyDescent="0.25">
      <c r="A23" s="76">
        <f>[1]Flujo!$C$15</f>
        <v>0.1171</v>
      </c>
      <c r="B23" s="73" t="s">
        <v>91</v>
      </c>
      <c r="C23" s="77">
        <f>Flujo!I34</f>
        <v>3079.134642755479</v>
      </c>
      <c r="D23" s="75">
        <f t="shared" si="13"/>
        <v>360.56666666666661</v>
      </c>
      <c r="E23" s="77">
        <f>Flujo!J34</f>
        <v>3079.134642755479</v>
      </c>
      <c r="F23" s="75">
        <f t="shared" si="8"/>
        <v>360.56666666666661</v>
      </c>
      <c r="G23" s="77">
        <f>Flujo!K34</f>
        <v>3079.134642755479</v>
      </c>
      <c r="H23" s="75">
        <f t="shared" si="9"/>
        <v>360.56666666666661</v>
      </c>
      <c r="I23" s="77">
        <f>Flujo!L34</f>
        <v>3079.134642755479</v>
      </c>
      <c r="J23" s="75">
        <f t="shared" si="14"/>
        <v>360.56666666666661</v>
      </c>
      <c r="K23" s="77">
        <f>Flujo!M34</f>
        <v>6158.2692855109581</v>
      </c>
      <c r="L23" s="75">
        <f t="shared" si="11"/>
        <v>721.13333333333321</v>
      </c>
      <c r="M23" s="77">
        <f>Flujo!N34</f>
        <v>6158.2692855109581</v>
      </c>
      <c r="N23" s="75">
        <f t="shared" si="12"/>
        <v>721.13333333333321</v>
      </c>
    </row>
    <row r="24" spans="1:14" x14ac:dyDescent="0.25">
      <c r="A24" s="78">
        <v>199</v>
      </c>
      <c r="B24" s="79" t="s">
        <v>82</v>
      </c>
      <c r="C24" s="80">
        <v>1</v>
      </c>
      <c r="D24" s="81">
        <f t="shared" si="13"/>
        <v>199</v>
      </c>
      <c r="E24" s="80">
        <v>1</v>
      </c>
      <c r="F24" s="81">
        <f t="shared" si="8"/>
        <v>199</v>
      </c>
      <c r="G24" s="80">
        <v>1</v>
      </c>
      <c r="H24" s="81">
        <f t="shared" si="9"/>
        <v>199</v>
      </c>
      <c r="I24" s="80">
        <v>1</v>
      </c>
      <c r="J24" s="81">
        <f t="shared" si="14"/>
        <v>199</v>
      </c>
      <c r="K24" s="80">
        <v>1</v>
      </c>
      <c r="L24" s="81">
        <f t="shared" si="11"/>
        <v>199</v>
      </c>
      <c r="M24" s="80">
        <v>1</v>
      </c>
      <c r="N24" s="81">
        <f t="shared" si="12"/>
        <v>199</v>
      </c>
    </row>
    <row r="25" spans="1:14" x14ac:dyDescent="0.25">
      <c r="A25" s="82"/>
      <c r="B25" s="83"/>
      <c r="C25" s="84"/>
      <c r="D25" s="85">
        <f>SUM(D17:D24)</f>
        <v>2762.89</v>
      </c>
      <c r="E25" s="84"/>
      <c r="F25" s="85">
        <f>SUM(F17:F24)</f>
        <v>2762.89</v>
      </c>
      <c r="G25" s="84"/>
      <c r="H25" s="85">
        <f>SUM(H17:H24)</f>
        <v>2762.89</v>
      </c>
      <c r="I25" s="84"/>
      <c r="J25" s="85">
        <f>SUM(J17:J24)</f>
        <v>2762.89</v>
      </c>
      <c r="K25" s="84"/>
      <c r="L25" s="85">
        <f>SUM(L17:L24)</f>
        <v>2762.89</v>
      </c>
      <c r="M25" s="84"/>
      <c r="N25" s="85">
        <f>SUM(N17:N24)</f>
        <v>2762.89</v>
      </c>
    </row>
  </sheetData>
  <mergeCells count="13">
    <mergeCell ref="A3:B3"/>
    <mergeCell ref="M15:N15"/>
    <mergeCell ref="C3:D3"/>
    <mergeCell ref="E3:F3"/>
    <mergeCell ref="G3:H3"/>
    <mergeCell ref="I3:J3"/>
    <mergeCell ref="K3:L3"/>
    <mergeCell ref="M3:N3"/>
    <mergeCell ref="C15:D15"/>
    <mergeCell ref="E15:F15"/>
    <mergeCell ref="G15:H15"/>
    <mergeCell ref="I15:J15"/>
    <mergeCell ref="K15:L15"/>
  </mergeCells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B5EC1-D3C2-4111-83DB-933273B03EF5}">
  <dimension ref="C2:E20"/>
  <sheetViews>
    <sheetView topLeftCell="A2" workbookViewId="0">
      <selection activeCell="D20" sqref="D20"/>
    </sheetView>
  </sheetViews>
  <sheetFormatPr baseColWidth="10" defaultRowHeight="15" x14ac:dyDescent="0.25"/>
  <cols>
    <col min="3" max="3" width="22.42578125" bestFit="1" customWidth="1"/>
    <col min="4" max="4" width="14.85546875" bestFit="1" customWidth="1"/>
    <col min="5" max="5" width="11" bestFit="1" customWidth="1"/>
  </cols>
  <sheetData>
    <row r="2" spans="3:5" x14ac:dyDescent="0.25">
      <c r="C2" s="109" t="s">
        <v>7</v>
      </c>
      <c r="D2" s="109"/>
      <c r="E2" s="19">
        <f>'AJEcuador Destrucción'!C4</f>
        <v>0</v>
      </c>
    </row>
    <row r="4" spans="3:5" x14ac:dyDescent="0.25">
      <c r="C4" s="7" t="s">
        <v>0</v>
      </c>
      <c r="D4" s="7" t="s">
        <v>1</v>
      </c>
      <c r="E4" s="7" t="s">
        <v>2</v>
      </c>
    </row>
    <row r="5" spans="3:5" x14ac:dyDescent="0.25">
      <c r="C5" s="2">
        <f>'AJEcuador Destrucción'!J8</f>
        <v>2984</v>
      </c>
      <c r="D5" s="3">
        <f>'AJEcuador Destrucción'!K8</f>
        <v>0</v>
      </c>
      <c r="E5" s="3">
        <f>D5*C5</f>
        <v>0</v>
      </c>
    </row>
    <row r="7" spans="3:5" x14ac:dyDescent="0.25">
      <c r="C7" s="107" t="s">
        <v>70</v>
      </c>
      <c r="D7" s="107"/>
      <c r="E7" s="2">
        <v>6</v>
      </c>
    </row>
    <row r="8" spans="3:5" x14ac:dyDescent="0.25">
      <c r="C8" s="108" t="s">
        <v>34</v>
      </c>
      <c r="D8" s="108"/>
      <c r="E8" s="5">
        <f>E5/E7</f>
        <v>0</v>
      </c>
    </row>
    <row r="9" spans="3:5" x14ac:dyDescent="0.25">
      <c r="C9" s="108" t="s">
        <v>3</v>
      </c>
      <c r="D9" s="108"/>
      <c r="E9" s="8">
        <f>C5/E7</f>
        <v>497.33333333333331</v>
      </c>
    </row>
    <row r="12" spans="3:5" x14ac:dyDescent="0.25">
      <c r="C12" s="108" t="s">
        <v>69</v>
      </c>
      <c r="D12" s="108"/>
      <c r="E12" s="108"/>
    </row>
    <row r="13" spans="3:5" x14ac:dyDescent="0.25">
      <c r="C13" s="9" t="s">
        <v>6</v>
      </c>
      <c r="D13" s="7" t="s">
        <v>1</v>
      </c>
      <c r="E13" s="7" t="s">
        <v>2</v>
      </c>
    </row>
    <row r="14" spans="3:5" x14ac:dyDescent="0.25">
      <c r="C14" s="4" t="s">
        <v>21</v>
      </c>
      <c r="D14" s="5">
        <f>'AJEcuador Destrucción'!K9</f>
        <v>0.28999999999999998</v>
      </c>
      <c r="E14" s="5">
        <f>E9*D14</f>
        <v>144.22666666666666</v>
      </c>
    </row>
    <row r="15" spans="3:5" x14ac:dyDescent="0.25">
      <c r="D15" s="9" t="s">
        <v>2</v>
      </c>
      <c r="E15" s="20">
        <f>SUM(E14)</f>
        <v>144.22666666666666</v>
      </c>
    </row>
    <row r="17" spans="3:5" x14ac:dyDescent="0.25">
      <c r="D17" s="9" t="s">
        <v>9</v>
      </c>
      <c r="E17" s="20">
        <f>E5-E15</f>
        <v>-144.22666666666666</v>
      </c>
    </row>
    <row r="18" spans="3:5" x14ac:dyDescent="0.25">
      <c r="E18" s="1"/>
    </row>
    <row r="19" spans="3:5" x14ac:dyDescent="0.25">
      <c r="C19" s="9" t="s">
        <v>35</v>
      </c>
      <c r="D19" s="8">
        <v>8841</v>
      </c>
      <c r="E19" s="50">
        <f>D19-4098</f>
        <v>4743</v>
      </c>
    </row>
    <row r="20" spans="3:5" x14ac:dyDescent="0.25">
      <c r="C20" s="9" t="s">
        <v>36</v>
      </c>
      <c r="D20" s="5">
        <f>D19*D14</f>
        <v>2563.89</v>
      </c>
    </row>
  </sheetData>
  <mergeCells count="5">
    <mergeCell ref="C7:D7"/>
    <mergeCell ref="C8:D8"/>
    <mergeCell ref="C9:D9"/>
    <mergeCell ref="C12:E12"/>
    <mergeCell ref="C2:D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E19A9-258B-4292-A2F5-9917BBBDAAFD}">
  <dimension ref="B2:O21"/>
  <sheetViews>
    <sheetView topLeftCell="B1" workbookViewId="0">
      <selection activeCell="I16" sqref="I16"/>
    </sheetView>
  </sheetViews>
  <sheetFormatPr baseColWidth="10" defaultColWidth="8.85546875" defaultRowHeight="15" x14ac:dyDescent="0.25"/>
  <cols>
    <col min="2" max="2" width="32.140625" bestFit="1" customWidth="1"/>
    <col min="3" max="3" width="17.140625" bestFit="1" customWidth="1"/>
    <col min="4" max="4" width="11.140625" bestFit="1" customWidth="1"/>
    <col min="5" max="5" width="11.42578125" bestFit="1" customWidth="1"/>
    <col min="6" max="6" width="11.140625" bestFit="1" customWidth="1"/>
    <col min="7" max="7" width="15.28515625" bestFit="1" customWidth="1"/>
    <col min="9" max="9" width="22" bestFit="1" customWidth="1"/>
    <col min="12" max="12" width="10" bestFit="1" customWidth="1"/>
    <col min="14" max="14" width="11.5703125" bestFit="1" customWidth="1"/>
    <col min="15" max="15" width="10.5703125" bestFit="1" customWidth="1"/>
  </cols>
  <sheetData>
    <row r="2" spans="2:15" x14ac:dyDescent="0.25">
      <c r="B2" s="28" t="s">
        <v>10</v>
      </c>
      <c r="C2" s="28" t="s">
        <v>83</v>
      </c>
    </row>
    <row r="3" spans="2:15" x14ac:dyDescent="0.25">
      <c r="B3" s="29" t="s">
        <v>11</v>
      </c>
      <c r="C3" s="30" t="s">
        <v>12</v>
      </c>
      <c r="D3" s="30" t="s">
        <v>13</v>
      </c>
      <c r="E3" s="30" t="s">
        <v>2</v>
      </c>
      <c r="J3" s="27" t="s">
        <v>14</v>
      </c>
      <c r="K3" s="27" t="s">
        <v>15</v>
      </c>
      <c r="L3" s="27" t="s">
        <v>16</v>
      </c>
      <c r="M3" s="27" t="s">
        <v>17</v>
      </c>
      <c r="N3" s="27" t="s">
        <v>5</v>
      </c>
      <c r="O3" s="27" t="s">
        <v>18</v>
      </c>
    </row>
    <row r="4" spans="2:15" x14ac:dyDescent="0.25">
      <c r="B4" s="31" t="s">
        <v>19</v>
      </c>
      <c r="C4" s="32">
        <f>(J4*K4)+(J5*K5)+(J6*K6)+(J7*K7)+(J8*K8)</f>
        <v>0</v>
      </c>
      <c r="D4" s="33" t="e">
        <f>O10/C4</f>
        <v>#DIV/0!</v>
      </c>
      <c r="E4" s="32">
        <f>O10</f>
        <v>-179.04000000000002</v>
      </c>
      <c r="I4" s="34" t="s">
        <v>20</v>
      </c>
      <c r="J4" s="2">
        <v>0</v>
      </c>
      <c r="K4" s="35">
        <v>1.44</v>
      </c>
      <c r="L4" s="32">
        <v>1.0900000000000001</v>
      </c>
      <c r="M4" s="32">
        <f>K4-L4</f>
        <v>0.34999999999999987</v>
      </c>
      <c r="N4" s="32">
        <f>J4*M4</f>
        <v>0</v>
      </c>
      <c r="O4" s="32">
        <f>N4*30%</f>
        <v>0</v>
      </c>
    </row>
    <row r="5" spans="2:15" x14ac:dyDescent="0.25">
      <c r="B5" s="31" t="s">
        <v>21</v>
      </c>
      <c r="C5" s="32">
        <f>L9</f>
        <v>0</v>
      </c>
      <c r="D5" s="33">
        <v>1</v>
      </c>
      <c r="E5" s="32">
        <f>C5*D5</f>
        <v>0</v>
      </c>
      <c r="I5" s="34" t="s">
        <v>113</v>
      </c>
      <c r="J5" s="2">
        <v>0</v>
      </c>
      <c r="K5" s="35">
        <v>0.52</v>
      </c>
      <c r="L5" s="32">
        <v>0.7</v>
      </c>
      <c r="M5" s="32">
        <f>K5-L5</f>
        <v>-0.17999999999999994</v>
      </c>
      <c r="N5" s="32">
        <f>J5*M5</f>
        <v>0</v>
      </c>
      <c r="O5" s="32">
        <f>N5*30%</f>
        <v>0</v>
      </c>
    </row>
    <row r="6" spans="2:15" x14ac:dyDescent="0.25">
      <c r="I6" s="34" t="s">
        <v>22</v>
      </c>
      <c r="J6" s="2">
        <v>0</v>
      </c>
      <c r="K6" s="35">
        <v>0.25</v>
      </c>
      <c r="L6" s="32">
        <v>0.13</v>
      </c>
      <c r="M6" s="32">
        <f>K6-L6</f>
        <v>0.12</v>
      </c>
      <c r="N6" s="32">
        <f>J6*M6</f>
        <v>0</v>
      </c>
      <c r="O6" s="32">
        <f>N6*30%</f>
        <v>0</v>
      </c>
    </row>
    <row r="7" spans="2:15" x14ac:dyDescent="0.25">
      <c r="D7" s="36" t="s">
        <v>2</v>
      </c>
      <c r="E7" s="37">
        <f>E4+E5</f>
        <v>-179.04000000000002</v>
      </c>
      <c r="I7" s="34" t="s">
        <v>114</v>
      </c>
      <c r="J7" s="2">
        <v>0</v>
      </c>
      <c r="K7" s="35">
        <v>8.0299999999999994</v>
      </c>
      <c r="L7" s="32">
        <v>0.28000000000000003</v>
      </c>
      <c r="M7" s="32">
        <f>K7-L7</f>
        <v>7.7499999999999991</v>
      </c>
      <c r="N7" s="32">
        <f>J7*M7</f>
        <v>0</v>
      </c>
      <c r="O7" s="32">
        <f>N7*30%</f>
        <v>0</v>
      </c>
    </row>
    <row r="8" spans="2:15" x14ac:dyDescent="0.25">
      <c r="I8" s="34" t="s">
        <v>23</v>
      </c>
      <c r="J8" s="2">
        <v>2984</v>
      </c>
      <c r="K8" s="35">
        <v>0</v>
      </c>
      <c r="L8" s="32">
        <v>0.2</v>
      </c>
      <c r="M8" s="32">
        <f>K8-L8</f>
        <v>-0.2</v>
      </c>
      <c r="N8" s="32">
        <f>J8*M8</f>
        <v>-596.80000000000007</v>
      </c>
      <c r="O8" s="32">
        <f>N8*30%</f>
        <v>-179.04000000000002</v>
      </c>
    </row>
    <row r="9" spans="2:15" x14ac:dyDescent="0.25">
      <c r="D9" s="36" t="s">
        <v>24</v>
      </c>
      <c r="E9" s="36" t="s">
        <v>4</v>
      </c>
      <c r="F9" s="38" t="s">
        <v>2</v>
      </c>
      <c r="I9" s="34" t="s">
        <v>21</v>
      </c>
      <c r="J9" s="2">
        <v>0</v>
      </c>
      <c r="K9" s="35">
        <v>0.28999999999999998</v>
      </c>
      <c r="L9" s="5">
        <f>K9*J9</f>
        <v>0</v>
      </c>
      <c r="O9" s="39"/>
    </row>
    <row r="10" spans="2:15" x14ac:dyDescent="0.25">
      <c r="B10" s="36" t="s">
        <v>33</v>
      </c>
      <c r="C10" s="40">
        <v>0.25</v>
      </c>
      <c r="D10" s="37">
        <f>C10*E4</f>
        <v>-44.760000000000005</v>
      </c>
      <c r="E10" s="37">
        <f>E5*C10</f>
        <v>0</v>
      </c>
      <c r="F10" s="41">
        <f>D10+E10</f>
        <v>-44.760000000000005</v>
      </c>
      <c r="O10" s="17">
        <f>SUM(O4:O9)</f>
        <v>-179.04000000000002</v>
      </c>
    </row>
    <row r="11" spans="2:15" x14ac:dyDescent="0.25">
      <c r="B11" s="36" t="s">
        <v>25</v>
      </c>
      <c r="C11" s="40">
        <f>100%-C10</f>
        <v>0.75</v>
      </c>
      <c r="D11" s="37">
        <f>C11*E4</f>
        <v>-134.28000000000003</v>
      </c>
      <c r="E11" s="37">
        <f>E5*C11</f>
        <v>0</v>
      </c>
      <c r="F11" s="41">
        <f>D11+E11</f>
        <v>-134.28000000000003</v>
      </c>
    </row>
    <row r="13" spans="2:15" x14ac:dyDescent="0.25">
      <c r="B13" s="110" t="s">
        <v>26</v>
      </c>
      <c r="C13" s="111"/>
      <c r="D13" s="42" t="s">
        <v>27</v>
      </c>
      <c r="E13" s="42" t="s">
        <v>28</v>
      </c>
    </row>
    <row r="14" spans="2:15" x14ac:dyDescent="0.25">
      <c r="B14" s="112"/>
      <c r="C14" s="113"/>
      <c r="D14" s="43">
        <v>0.5</v>
      </c>
      <c r="E14" s="43">
        <f>100%-D14</f>
        <v>0.5</v>
      </c>
    </row>
    <row r="15" spans="2:15" x14ac:dyDescent="0.25">
      <c r="B15" s="31" t="s">
        <v>29</v>
      </c>
      <c r="C15" s="44">
        <f>D10</f>
        <v>-44.760000000000005</v>
      </c>
      <c r="D15" s="45">
        <f>D14*C15</f>
        <v>-22.380000000000003</v>
      </c>
      <c r="E15" s="45">
        <f>C15*E14</f>
        <v>-22.380000000000003</v>
      </c>
    </row>
    <row r="16" spans="2:15" x14ac:dyDescent="0.25">
      <c r="B16" s="31" t="s">
        <v>30</v>
      </c>
      <c r="C16" s="44">
        <f>D11</f>
        <v>-134.28000000000003</v>
      </c>
      <c r="D16" s="32">
        <f>D14*C16</f>
        <v>-67.140000000000015</v>
      </c>
      <c r="E16" s="32">
        <f>C16*E14</f>
        <v>-67.140000000000015</v>
      </c>
    </row>
    <row r="18" spans="2:4" x14ac:dyDescent="0.25">
      <c r="B18" s="110" t="s">
        <v>31</v>
      </c>
      <c r="C18" s="111"/>
    </row>
    <row r="19" spans="2:4" x14ac:dyDescent="0.25">
      <c r="B19" s="112"/>
      <c r="C19" s="113"/>
      <c r="D19" s="42" t="s">
        <v>32</v>
      </c>
    </row>
    <row r="20" spans="2:4" x14ac:dyDescent="0.25">
      <c r="B20" s="31" t="s">
        <v>29</v>
      </c>
      <c r="C20" s="44">
        <f>E10</f>
        <v>0</v>
      </c>
      <c r="D20" s="41">
        <f>E15+C20</f>
        <v>-22.380000000000003</v>
      </c>
    </row>
    <row r="21" spans="2:4" x14ac:dyDescent="0.25">
      <c r="B21" s="31" t="s">
        <v>30</v>
      </c>
      <c r="C21" s="44">
        <f>E11</f>
        <v>0</v>
      </c>
      <c r="D21" s="41">
        <f>E16+C21</f>
        <v>-67.140000000000015</v>
      </c>
    </row>
  </sheetData>
  <mergeCells count="2">
    <mergeCell ref="B13:C14"/>
    <mergeCell ref="B18:C1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Flujo</vt:lpstr>
      <vt:lpstr>Facturaciòn Mensual </vt:lpstr>
      <vt:lpstr>Analisis de Costos</vt:lpstr>
      <vt:lpstr>AJEcuador Destrucción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JefeComercial</dc:creator>
  <cp:lastModifiedBy>JefeComercial</cp:lastModifiedBy>
  <cp:lastPrinted>2020-05-25T16:49:30Z</cp:lastPrinted>
  <dcterms:created xsi:type="dcterms:W3CDTF">2019-04-09T12:51:15Z</dcterms:created>
  <dcterms:modified xsi:type="dcterms:W3CDTF">2020-12-07T17:47:13Z</dcterms:modified>
</cp:coreProperties>
</file>