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fecomercial\OneDrive\Documentos\Data Solutions\Jefatura Comercial\Documentación Importante\Contratos\Contratos Clientes\Cliente GYE\Ecuaquímica\"/>
    </mc:Choice>
  </mc:AlternateContent>
  <xr:revisionPtr revIDLastSave="0" documentId="13_ncr:1_{7FAA7CBF-68CA-46F7-BF45-4F80934ECE6D}" xr6:coauthVersionLast="45" xr6:coauthVersionMax="45" xr10:uidLastSave="{00000000-0000-0000-0000-000000000000}"/>
  <bookViews>
    <workbookView xWindow="-120" yWindow="-120" windowWidth="20730" windowHeight="11310" activeTab="2" xr2:uid="{20497D6A-6FC6-4272-BA95-0A5E112D5B94}"/>
  </bookViews>
  <sheets>
    <sheet name="Flujo" sheetId="4" r:id="rId1"/>
    <sheet name="Facturación" sheetId="5" r:id="rId2"/>
    <sheet name="Facturación vs. Flujo" sheetId="7" r:id="rId3"/>
    <sheet name="Relacion Facturacion" sheetId="6" r:id="rId4"/>
    <sheet name="Comision Ecuaquímica" sheetId="8" state="hidden" r:id="rId5"/>
    <sheet name="Analisis de Costos" sheetId="1" state="hidden" r:id="rId6"/>
    <sheet name="Ecuaquimica Destrucción" sheetId="3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3" i="7" l="1"/>
  <c r="J42" i="7" l="1"/>
  <c r="I43" i="7"/>
  <c r="D16" i="6" l="1"/>
  <c r="E16" i="6" s="1"/>
  <c r="E43" i="7" l="1"/>
  <c r="D15" i="6" l="1"/>
  <c r="E15" i="6" s="1"/>
  <c r="F25" i="8" l="1"/>
  <c r="G25" i="8" s="1"/>
  <c r="I24" i="8"/>
  <c r="I20" i="8"/>
  <c r="H20" i="8"/>
  <c r="I25" i="8" l="1"/>
  <c r="I28" i="8" s="1"/>
  <c r="H25" i="8"/>
  <c r="H28" i="8" s="1"/>
  <c r="M31" i="7"/>
  <c r="D14" i="6"/>
  <c r="E14" i="6" s="1"/>
  <c r="E17" i="8" l="1"/>
  <c r="F17" i="8"/>
  <c r="G17" i="8" s="1"/>
  <c r="I16" i="8"/>
  <c r="H17" i="8" l="1"/>
  <c r="D13" i="6"/>
  <c r="E13" i="6" s="1"/>
  <c r="F8" i="8" l="1"/>
  <c r="G8" i="8" s="1"/>
  <c r="F7" i="8"/>
  <c r="G7" i="8" s="1"/>
  <c r="F6" i="8"/>
  <c r="G6" i="8" s="1"/>
  <c r="F5" i="8"/>
  <c r="G5" i="8" s="1"/>
  <c r="F4" i="8"/>
  <c r="G4" i="8" s="1"/>
  <c r="I3" i="8"/>
  <c r="I7" i="8" l="1"/>
  <c r="I5" i="8"/>
  <c r="I17" i="8"/>
  <c r="I6" i="8"/>
  <c r="H6" i="8"/>
  <c r="I8" i="8"/>
  <c r="H8" i="8"/>
  <c r="I4" i="8"/>
  <c r="H4" i="8"/>
  <c r="H5" i="8"/>
  <c r="H7" i="8"/>
  <c r="I11" i="8" l="1"/>
  <c r="H11" i="8"/>
  <c r="D12" i="6" l="1"/>
  <c r="E12" i="6" s="1"/>
  <c r="C8" i="7" l="1"/>
  <c r="G8" i="7" s="1"/>
  <c r="A7" i="7"/>
  <c r="F7" i="7" s="1"/>
  <c r="A45" i="7"/>
  <c r="N45" i="7" s="1"/>
  <c r="N46" i="7"/>
  <c r="L46" i="7"/>
  <c r="J46" i="7"/>
  <c r="H46" i="7"/>
  <c r="F46" i="7"/>
  <c r="D46" i="7"/>
  <c r="A44" i="7"/>
  <c r="D44" i="7" s="1"/>
  <c r="A43" i="7"/>
  <c r="N43" i="7" s="1"/>
  <c r="A42" i="7"/>
  <c r="N42" i="7" s="1"/>
  <c r="A41" i="7"/>
  <c r="N41" i="7" s="1"/>
  <c r="A40" i="7"/>
  <c r="H40" i="7" s="1"/>
  <c r="A39" i="7"/>
  <c r="L39" i="7" s="1"/>
  <c r="N33" i="7"/>
  <c r="L33" i="7"/>
  <c r="J33" i="7"/>
  <c r="H33" i="7"/>
  <c r="F33" i="7"/>
  <c r="D33" i="7"/>
  <c r="A32" i="7"/>
  <c r="F32" i="7" s="1"/>
  <c r="A31" i="7"/>
  <c r="D31" i="7" s="1"/>
  <c r="A30" i="7"/>
  <c r="J30" i="7" s="1"/>
  <c r="A29" i="7"/>
  <c r="H29" i="7" s="1"/>
  <c r="A28" i="7"/>
  <c r="F28" i="7" s="1"/>
  <c r="A27" i="7"/>
  <c r="D27" i="7" s="1"/>
  <c r="A10" i="7"/>
  <c r="H10" i="7" s="1"/>
  <c r="H21" i="7"/>
  <c r="A20" i="7"/>
  <c r="J20" i="7" s="1"/>
  <c r="A19" i="7"/>
  <c r="F19" i="7" s="1"/>
  <c r="A18" i="7"/>
  <c r="D18" i="7" s="1"/>
  <c r="A17" i="7"/>
  <c r="N17" i="7" s="1"/>
  <c r="A16" i="7"/>
  <c r="N16" i="7" s="1"/>
  <c r="A15" i="7"/>
  <c r="N15" i="7" s="1"/>
  <c r="A9" i="7"/>
  <c r="L9" i="7" s="1"/>
  <c r="A8" i="7"/>
  <c r="J8" i="7" s="1"/>
  <c r="A6" i="7"/>
  <c r="L6" i="7" s="1"/>
  <c r="A5" i="7"/>
  <c r="A4" i="7"/>
  <c r="F4" i="7" s="1"/>
  <c r="L20" i="7"/>
  <c r="D33" i="4"/>
  <c r="D7" i="7" l="1"/>
  <c r="N6" i="7"/>
  <c r="L15" i="7"/>
  <c r="J29" i="7"/>
  <c r="H15" i="7"/>
  <c r="D20" i="7"/>
  <c r="N20" i="7"/>
  <c r="N27" i="7"/>
  <c r="L19" i="7"/>
  <c r="N7" i="7"/>
  <c r="L7" i="7"/>
  <c r="J7" i="7"/>
  <c r="J27" i="7"/>
  <c r="H7" i="7"/>
  <c r="L27" i="7"/>
  <c r="N44" i="7"/>
  <c r="D45" i="7"/>
  <c r="L44" i="7"/>
  <c r="N28" i="7"/>
  <c r="L40" i="7"/>
  <c r="F45" i="7"/>
  <c r="N40" i="7"/>
  <c r="H45" i="7"/>
  <c r="J45" i="7"/>
  <c r="H27" i="7"/>
  <c r="L45" i="7"/>
  <c r="N31" i="7"/>
  <c r="D43" i="7"/>
  <c r="J43" i="7"/>
  <c r="F43" i="7"/>
  <c r="J6" i="7"/>
  <c r="L29" i="7"/>
  <c r="N29" i="7"/>
  <c r="L43" i="7"/>
  <c r="H28" i="7"/>
  <c r="D40" i="7"/>
  <c r="D42" i="7"/>
  <c r="F41" i="7"/>
  <c r="J28" i="7"/>
  <c r="L30" i="7"/>
  <c r="F40" i="7"/>
  <c r="H42" i="7"/>
  <c r="F44" i="7"/>
  <c r="D6" i="7"/>
  <c r="F27" i="7"/>
  <c r="L28" i="7"/>
  <c r="N30" i="7"/>
  <c r="J40" i="7"/>
  <c r="H44" i="7"/>
  <c r="N39" i="7"/>
  <c r="D41" i="7"/>
  <c r="F42" i="7"/>
  <c r="H43" i="7"/>
  <c r="J44" i="7"/>
  <c r="H41" i="7"/>
  <c r="F39" i="7"/>
  <c r="J41" i="7"/>
  <c r="L42" i="7"/>
  <c r="H39" i="7"/>
  <c r="L41" i="7"/>
  <c r="D39" i="7"/>
  <c r="J39" i="7"/>
  <c r="H32" i="7"/>
  <c r="J32" i="7"/>
  <c r="J31" i="7"/>
  <c r="D32" i="7"/>
  <c r="D30" i="7"/>
  <c r="F31" i="7"/>
  <c r="D29" i="7"/>
  <c r="F30" i="7"/>
  <c r="H31" i="7"/>
  <c r="D28" i="7"/>
  <c r="F29" i="7"/>
  <c r="H30" i="7"/>
  <c r="L32" i="7"/>
  <c r="L31" i="7"/>
  <c r="N32" i="7"/>
  <c r="J10" i="7"/>
  <c r="L10" i="7"/>
  <c r="N10" i="7"/>
  <c r="D10" i="7"/>
  <c r="F18" i="7"/>
  <c r="N18" i="7"/>
  <c r="H20" i="7"/>
  <c r="F21" i="7"/>
  <c r="H18" i="7"/>
  <c r="J19" i="7"/>
  <c r="F20" i="7"/>
  <c r="N19" i="7"/>
  <c r="D19" i="7"/>
  <c r="L18" i="7"/>
  <c r="H9" i="7"/>
  <c r="F9" i="7"/>
  <c r="J9" i="7"/>
  <c r="N9" i="7"/>
  <c r="D9" i="7"/>
  <c r="D8" i="7"/>
  <c r="H4" i="7"/>
  <c r="J4" i="7"/>
  <c r="N4" i="7"/>
  <c r="L4" i="7"/>
  <c r="H19" i="7"/>
  <c r="D21" i="7"/>
  <c r="D17" i="7"/>
  <c r="D16" i="7"/>
  <c r="F17" i="7"/>
  <c r="J21" i="7"/>
  <c r="D15" i="7"/>
  <c r="F16" i="7"/>
  <c r="H17" i="7"/>
  <c r="J18" i="7"/>
  <c r="L21" i="7"/>
  <c r="F15" i="7"/>
  <c r="H16" i="7"/>
  <c r="J17" i="7"/>
  <c r="N21" i="7"/>
  <c r="J16" i="7"/>
  <c r="L17" i="7"/>
  <c r="J15" i="7"/>
  <c r="L16" i="7"/>
  <c r="F6" i="7"/>
  <c r="H6" i="7"/>
  <c r="D4" i="7"/>
  <c r="F8" i="7"/>
  <c r="F10" i="7"/>
  <c r="N8" i="7"/>
  <c r="F45" i="5"/>
  <c r="E45" i="5"/>
  <c r="D11" i="6"/>
  <c r="E11" i="6" s="1"/>
  <c r="C22" i="6"/>
  <c r="C24" i="6" s="1"/>
  <c r="L34" i="7" l="1"/>
  <c r="H34" i="7"/>
  <c r="N47" i="7"/>
  <c r="N34" i="7"/>
  <c r="J34" i="7"/>
  <c r="L47" i="7"/>
  <c r="D34" i="7"/>
  <c r="F47" i="7"/>
  <c r="J47" i="7"/>
  <c r="F34" i="7"/>
  <c r="H47" i="7"/>
  <c r="D47" i="7"/>
  <c r="N22" i="7"/>
  <c r="L22" i="7"/>
  <c r="D22" i="7"/>
  <c r="H22" i="7"/>
  <c r="F22" i="7"/>
  <c r="J22" i="7"/>
  <c r="H8" i="7"/>
  <c r="L8" i="7"/>
  <c r="D10" i="6"/>
  <c r="E10" i="6" s="1"/>
  <c r="D9" i="6"/>
  <c r="E9" i="6" s="1"/>
  <c r="D8" i="6"/>
  <c r="E8" i="6" s="1"/>
  <c r="D7" i="6"/>
  <c r="E7" i="6" s="1"/>
  <c r="D6" i="6"/>
  <c r="E6" i="6" s="1"/>
  <c r="D5" i="6"/>
  <c r="E5" i="6" s="1"/>
  <c r="D4" i="6"/>
  <c r="E4" i="6" s="1"/>
  <c r="E22" i="6" l="1"/>
  <c r="E24" i="6" s="1"/>
  <c r="D22" i="6"/>
  <c r="I13" i="5"/>
  <c r="H13" i="5"/>
  <c r="D112" i="5" l="1"/>
  <c r="O51" i="4" l="1"/>
  <c r="C7" i="4"/>
  <c r="C9" i="4" s="1"/>
  <c r="C11" i="4"/>
  <c r="N149" i="4"/>
  <c r="N147" i="4"/>
  <c r="N146" i="4"/>
  <c r="N145" i="4"/>
  <c r="M141" i="4"/>
  <c r="M139" i="4"/>
  <c r="M138" i="4"/>
  <c r="M137" i="4"/>
  <c r="L133" i="4"/>
  <c r="L131" i="4"/>
  <c r="L130" i="4"/>
  <c r="L129" i="4"/>
  <c r="K125" i="4"/>
  <c r="K123" i="4"/>
  <c r="K122" i="4"/>
  <c r="K121" i="4"/>
  <c r="J117" i="4"/>
  <c r="J115" i="4"/>
  <c r="J114" i="4"/>
  <c r="J113" i="4"/>
  <c r="I109" i="4"/>
  <c r="I107" i="4"/>
  <c r="I106" i="4"/>
  <c r="I105" i="4"/>
  <c r="H101" i="4"/>
  <c r="H99" i="4"/>
  <c r="H98" i="4"/>
  <c r="H97" i="4"/>
  <c r="G93" i="4"/>
  <c r="G91" i="4"/>
  <c r="G90" i="4"/>
  <c r="G89" i="4"/>
  <c r="F85" i="4"/>
  <c r="F83" i="4"/>
  <c r="F82" i="4"/>
  <c r="F81" i="4"/>
  <c r="E77" i="4"/>
  <c r="E75" i="4"/>
  <c r="E74" i="4"/>
  <c r="E73" i="4"/>
  <c r="D69" i="4"/>
  <c r="D67" i="4"/>
  <c r="D66" i="4"/>
  <c r="D65" i="4"/>
  <c r="C61" i="4"/>
  <c r="C59" i="4"/>
  <c r="C58" i="4"/>
  <c r="C57" i="4"/>
  <c r="N37" i="4" l="1"/>
  <c r="M37" i="4"/>
  <c r="I42" i="4"/>
  <c r="J42" i="4"/>
  <c r="K42" i="4"/>
  <c r="L42" i="4"/>
  <c r="G43" i="4"/>
  <c r="G42" i="4" s="1"/>
  <c r="H43" i="4"/>
  <c r="H42" i="4" s="1"/>
  <c r="I43" i="4"/>
  <c r="J43" i="4"/>
  <c r="K43" i="4"/>
  <c r="L43" i="4"/>
  <c r="F43" i="4"/>
  <c r="L40" i="4"/>
  <c r="K40" i="4"/>
  <c r="J40" i="4"/>
  <c r="I40" i="4"/>
  <c r="H40" i="4"/>
  <c r="E42" i="4"/>
  <c r="C43" i="4"/>
  <c r="C42" i="4" s="1"/>
  <c r="F40" i="4"/>
  <c r="G40" i="4"/>
  <c r="E40" i="4"/>
  <c r="D40" i="4"/>
  <c r="D41" i="4"/>
  <c r="D43" i="4" s="1"/>
  <c r="D42" i="4" s="1"/>
  <c r="C41" i="4"/>
  <c r="C40" i="4" s="1"/>
  <c r="C30" i="4"/>
  <c r="C10" i="4"/>
  <c r="F42" i="4" l="1"/>
  <c r="C16" i="4"/>
  <c r="G38" i="4"/>
  <c r="L5" i="7" l="1"/>
  <c r="L11" i="7" s="1"/>
  <c r="N5" i="7"/>
  <c r="N11" i="7" s="1"/>
  <c r="F5" i="7"/>
  <c r="F11" i="7" s="1"/>
  <c r="D5" i="7"/>
  <c r="D11" i="7" s="1"/>
  <c r="J5" i="7"/>
  <c r="J11" i="7" s="1"/>
  <c r="H5" i="7"/>
  <c r="H11" i="7" s="1"/>
  <c r="L47" i="4"/>
  <c r="N47" i="4" s="1"/>
  <c r="C50" i="7" l="1"/>
  <c r="C51" i="7"/>
  <c r="D53" i="7" s="1"/>
  <c r="C38" i="4"/>
  <c r="D38" i="4"/>
  <c r="E38" i="4"/>
  <c r="F38" i="4"/>
  <c r="C5" i="1"/>
  <c r="E9" i="1" s="1"/>
  <c r="F36" i="4" l="1"/>
  <c r="E36" i="4"/>
  <c r="D36" i="4"/>
  <c r="C36" i="4"/>
  <c r="C14" i="4"/>
  <c r="C12" i="4"/>
  <c r="D20" i="1"/>
  <c r="E14" i="1"/>
  <c r="E15" i="1" s="1"/>
  <c r="D5" i="1"/>
  <c r="C13" i="4" s="1"/>
  <c r="M140" i="4" l="1"/>
  <c r="M142" i="4" s="1"/>
  <c r="H100" i="4"/>
  <c r="H102" i="4" s="1"/>
  <c r="N148" i="4"/>
  <c r="N150" i="4" s="1"/>
  <c r="K124" i="4"/>
  <c r="K126" i="4" s="1"/>
  <c r="E76" i="4"/>
  <c r="E78" i="4" s="1"/>
  <c r="L132" i="4"/>
  <c r="L134" i="4" s="1"/>
  <c r="F84" i="4"/>
  <c r="F86" i="4" s="1"/>
  <c r="J116" i="4"/>
  <c r="J118" i="4" s="1"/>
  <c r="G92" i="4"/>
  <c r="G94" i="4" s="1"/>
  <c r="D68" i="4"/>
  <c r="D70" i="4" s="1"/>
  <c r="I108" i="4"/>
  <c r="I110" i="4" s="1"/>
  <c r="E11" i="4"/>
  <c r="F20" i="4"/>
  <c r="C60" i="4"/>
  <c r="C62" i="4" s="1"/>
  <c r="I33" i="4"/>
  <c r="I32" i="4" s="1"/>
  <c r="M33" i="4"/>
  <c r="N33" i="4"/>
  <c r="H33" i="4"/>
  <c r="G33" i="4"/>
  <c r="J33" i="4"/>
  <c r="K33" i="4"/>
  <c r="L33" i="4"/>
  <c r="G45" i="4"/>
  <c r="I45" i="4"/>
  <c r="I44" i="4" s="1"/>
  <c r="I39" i="4" s="1"/>
  <c r="H45" i="4"/>
  <c r="H44" i="4" s="1"/>
  <c r="H39" i="4" s="1"/>
  <c r="F45" i="4"/>
  <c r="E45" i="4"/>
  <c r="E44" i="4" s="1"/>
  <c r="E39" i="4" s="1"/>
  <c r="L45" i="4"/>
  <c r="K45" i="4"/>
  <c r="J45" i="4"/>
  <c r="F33" i="4"/>
  <c r="E21" i="4"/>
  <c r="E20" i="4" s="1"/>
  <c r="D21" i="4"/>
  <c r="D20" i="4" s="1"/>
  <c r="C21" i="4"/>
  <c r="C20" i="4" s="1"/>
  <c r="C19" i="4" s="1"/>
  <c r="G21" i="4"/>
  <c r="E51" i="4"/>
  <c r="F51" i="4"/>
  <c r="H51" i="4"/>
  <c r="D51" i="4"/>
  <c r="G51" i="4"/>
  <c r="C51" i="4"/>
  <c r="M46" i="4"/>
  <c r="C29" i="4"/>
  <c r="N28" i="4"/>
  <c r="L46" i="4"/>
  <c r="J46" i="4"/>
  <c r="K46" i="4"/>
  <c r="I46" i="4"/>
  <c r="F46" i="4"/>
  <c r="G46" i="4"/>
  <c r="N46" i="4"/>
  <c r="H46" i="4"/>
  <c r="I28" i="4"/>
  <c r="G28" i="4"/>
  <c r="J28" i="4"/>
  <c r="K28" i="4"/>
  <c r="D29" i="4"/>
  <c r="D28" i="4" s="1"/>
  <c r="L28" i="4"/>
  <c r="E29" i="4"/>
  <c r="E28" i="4" s="1"/>
  <c r="M28" i="4"/>
  <c r="F28" i="4"/>
  <c r="H28" i="4"/>
  <c r="C4" i="3"/>
  <c r="E2" i="1" s="1"/>
  <c r="C154" i="4" l="1"/>
  <c r="D154" i="4" s="1"/>
  <c r="H21" i="4"/>
  <c r="G20" i="4"/>
  <c r="C22" i="4"/>
  <c r="D22" i="4" s="1"/>
  <c r="D30" i="4"/>
  <c r="C28" i="4"/>
  <c r="H36" i="4"/>
  <c r="H38" i="4"/>
  <c r="G36" i="4"/>
  <c r="C24" i="4"/>
  <c r="C25" i="4" s="1"/>
  <c r="E14" i="3"/>
  <c r="C11" i="3"/>
  <c r="L9" i="3"/>
  <c r="C5" i="3" s="1"/>
  <c r="E5" i="3" s="1"/>
  <c r="M8" i="3"/>
  <c r="N8" i="3" s="1"/>
  <c r="O8" i="3" s="1"/>
  <c r="M7" i="3"/>
  <c r="N7" i="3" s="1"/>
  <c r="O7" i="3" s="1"/>
  <c r="M6" i="3"/>
  <c r="N6" i="3" s="1"/>
  <c r="O6" i="3" s="1"/>
  <c r="M5" i="3"/>
  <c r="N5" i="3" s="1"/>
  <c r="O5" i="3" s="1"/>
  <c r="M4" i="3"/>
  <c r="N4" i="3" s="1"/>
  <c r="O4" i="3" s="1"/>
  <c r="C46" i="4" l="1"/>
  <c r="C33" i="4"/>
  <c r="C32" i="4" s="1"/>
  <c r="E22" i="4"/>
  <c r="E33" i="4" s="1"/>
  <c r="D46" i="4"/>
  <c r="L20" i="4"/>
  <c r="M20" i="4"/>
  <c r="N20" i="4"/>
  <c r="I20" i="4"/>
  <c r="J20" i="4"/>
  <c r="K20" i="4"/>
  <c r="H20" i="4"/>
  <c r="E30" i="4"/>
  <c r="D32" i="4"/>
  <c r="D19" i="4"/>
  <c r="E10" i="3"/>
  <c r="C20" i="3" s="1"/>
  <c r="E11" i="3"/>
  <c r="C21" i="3" s="1"/>
  <c r="O10" i="3"/>
  <c r="D4" i="3" s="1"/>
  <c r="G22" i="4" l="1"/>
  <c r="H22" i="4" s="1"/>
  <c r="E46" i="4"/>
  <c r="D44" i="4"/>
  <c r="D24" i="4"/>
  <c r="D25" i="4" s="1"/>
  <c r="C44" i="4"/>
  <c r="C39" i="4" s="1"/>
  <c r="C49" i="4" s="1"/>
  <c r="I51" i="4"/>
  <c r="E32" i="4"/>
  <c r="E19" i="4"/>
  <c r="E4" i="3"/>
  <c r="D39" i="4" l="1"/>
  <c r="D49" i="4" s="1"/>
  <c r="D71" i="4" s="1"/>
  <c r="H30" i="4"/>
  <c r="I31" i="4" s="1"/>
  <c r="I30" i="4" s="1"/>
  <c r="F30" i="4"/>
  <c r="E49" i="4"/>
  <c r="E24" i="4"/>
  <c r="E25" i="4" s="1"/>
  <c r="J51" i="4"/>
  <c r="F32" i="4"/>
  <c r="F19" i="4"/>
  <c r="D10" i="3"/>
  <c r="E7" i="3"/>
  <c r="D11" i="3"/>
  <c r="E53" i="4" l="1"/>
  <c r="E79" i="4"/>
  <c r="F44" i="4"/>
  <c r="F39" i="4" s="1"/>
  <c r="F24" i="4"/>
  <c r="G30" i="4"/>
  <c r="K51" i="4"/>
  <c r="G32" i="4"/>
  <c r="G19" i="4"/>
  <c r="G24" i="4" s="1"/>
  <c r="F11" i="3"/>
  <c r="C16" i="3"/>
  <c r="F10" i="3"/>
  <c r="C15" i="3"/>
  <c r="C53" i="4" l="1"/>
  <c r="C63" i="4"/>
  <c r="F49" i="4"/>
  <c r="G44" i="4"/>
  <c r="G39" i="4" s="1"/>
  <c r="L51" i="4"/>
  <c r="H19" i="4"/>
  <c r="D15" i="3"/>
  <c r="E15" i="3"/>
  <c r="D20" i="3" s="1"/>
  <c r="D16" i="3"/>
  <c r="E16" i="3"/>
  <c r="D21" i="3" s="1"/>
  <c r="F53" i="4" l="1"/>
  <c r="F87" i="4"/>
  <c r="H24" i="4"/>
  <c r="H32" i="4"/>
  <c r="M51" i="4"/>
  <c r="J31" i="4"/>
  <c r="I19" i="4"/>
  <c r="I24" i="4" s="1"/>
  <c r="H49" i="4" l="1"/>
  <c r="G49" i="4"/>
  <c r="J30" i="4"/>
  <c r="K31" i="4"/>
  <c r="N51" i="4"/>
  <c r="J32" i="4"/>
  <c r="J37" i="4" s="1"/>
  <c r="J19" i="4"/>
  <c r="J24" i="4" s="1"/>
  <c r="J44" i="4" s="1"/>
  <c r="J39" i="4" s="1"/>
  <c r="G53" i="4" l="1"/>
  <c r="G95" i="4"/>
  <c r="H53" i="4"/>
  <c r="H103" i="4"/>
  <c r="L31" i="4"/>
  <c r="K30" i="4"/>
  <c r="I36" i="4"/>
  <c r="I38" i="4"/>
  <c r="J36" i="4"/>
  <c r="J38" i="4"/>
  <c r="K32" i="4"/>
  <c r="K37" i="4" s="1"/>
  <c r="K19" i="4"/>
  <c r="K24" i="4" s="1"/>
  <c r="K44" i="4" s="1"/>
  <c r="K39" i="4" s="1"/>
  <c r="E5" i="1"/>
  <c r="E8" i="1" s="1"/>
  <c r="J49" i="4" l="1"/>
  <c r="I49" i="4"/>
  <c r="L30" i="4"/>
  <c r="M31" i="4"/>
  <c r="K38" i="4"/>
  <c r="K36" i="4"/>
  <c r="C5" i="4"/>
  <c r="L32" i="4"/>
  <c r="L37" i="4" s="1"/>
  <c r="L19" i="4"/>
  <c r="L24" i="4" s="1"/>
  <c r="L44" i="4" s="1"/>
  <c r="L39" i="4" s="1"/>
  <c r="E17" i="1"/>
  <c r="I53" i="4" l="1"/>
  <c r="I111" i="4"/>
  <c r="J53" i="4"/>
  <c r="J119" i="4"/>
  <c r="M30" i="4"/>
  <c r="N31" i="4"/>
  <c r="N30" i="4" s="1"/>
  <c r="K49" i="4"/>
  <c r="L36" i="4"/>
  <c r="L38" i="4"/>
  <c r="M32" i="4"/>
  <c r="M19" i="4"/>
  <c r="M24" i="4" s="1"/>
  <c r="M44" i="4" s="1"/>
  <c r="M39" i="4" s="1"/>
  <c r="K53" i="4" l="1"/>
  <c r="K127" i="4"/>
  <c r="L49" i="4"/>
  <c r="N32" i="4"/>
  <c r="M36" i="4"/>
  <c r="M49" i="4" s="1"/>
  <c r="N19" i="4"/>
  <c r="N24" i="4" s="1"/>
  <c r="N44" i="4" s="1"/>
  <c r="N39" i="4" s="1"/>
  <c r="M53" i="4" l="1"/>
  <c r="M143" i="4"/>
  <c r="L53" i="4"/>
  <c r="L135" i="4"/>
  <c r="N36" i="4"/>
  <c r="N49" i="4" s="1"/>
  <c r="O49" i="4" s="1"/>
  <c r="O53" i="4" l="1"/>
  <c r="D113" i="5"/>
  <c r="D115" i="5" s="1"/>
  <c r="N53" i="4"/>
  <c r="N151" i="4"/>
  <c r="C155" i="4" l="1"/>
  <c r="C157" i="4" s="1"/>
  <c r="D53" i="4"/>
</calcChain>
</file>

<file path=xl/sharedStrings.xml><?xml version="1.0" encoding="utf-8"?>
<sst xmlns="http://schemas.openxmlformats.org/spreadsheetml/2006/main" count="521" uniqueCount="177">
  <si>
    <t>N° de Cajas</t>
  </si>
  <si>
    <t>Precio Unitario</t>
  </si>
  <si>
    <t>Total</t>
  </si>
  <si>
    <t>Cantidad de Cajas Mensuales</t>
  </si>
  <si>
    <t>Custodia</t>
  </si>
  <si>
    <t>Subtotal</t>
  </si>
  <si>
    <t>Descripción</t>
  </si>
  <si>
    <t>Traslado Inicial</t>
  </si>
  <si>
    <t>VALOR TOTAL DEL PROYECTO</t>
  </si>
  <si>
    <t>PRESUPUESTO DEL PROYECTO MES</t>
  </si>
  <si>
    <t>Ordenamiento Normal</t>
  </si>
  <si>
    <t>Saldo Mensual</t>
  </si>
  <si>
    <t>Cliente</t>
  </si>
  <si>
    <t>Comisiones Ventas</t>
  </si>
  <si>
    <t>Valor</t>
  </si>
  <si>
    <t>%</t>
  </si>
  <si>
    <t>Cant.</t>
  </si>
  <si>
    <t>PVP</t>
  </si>
  <si>
    <t>Costo</t>
  </si>
  <si>
    <t>Margen</t>
  </si>
  <si>
    <t>Comisión</t>
  </si>
  <si>
    <t>Inversion Inicial</t>
  </si>
  <si>
    <t>Kit de Almacenamiento</t>
  </si>
  <si>
    <t>Custodia Mensual</t>
  </si>
  <si>
    <t>Ordenamiento File</t>
  </si>
  <si>
    <t>Destrucción de Archivos</t>
  </si>
  <si>
    <t>Inv. Inicial</t>
  </si>
  <si>
    <t>Comision Gerencia Comercial</t>
  </si>
  <si>
    <t>Total de Comisiones a Recibir</t>
  </si>
  <si>
    <t>Anticipo</t>
  </si>
  <si>
    <t>Saldo</t>
  </si>
  <si>
    <t>Sofia Chiriboga</t>
  </si>
  <si>
    <t>Santiago Gómez</t>
  </si>
  <si>
    <t>Total de Comisiones a Recibir por Custodia</t>
  </si>
  <si>
    <t>Por Pagar</t>
  </si>
  <si>
    <t>Comisión S.A.C.</t>
  </si>
  <si>
    <t>Costo Mensual</t>
  </si>
  <si>
    <t>Total de Cajas</t>
  </si>
  <si>
    <t>Valor total de Custodia</t>
  </si>
  <si>
    <t>TOTAL DE CAJAS BAJO CUSTODIA</t>
  </si>
  <si>
    <t>CANTIDAD DE CAJAS A DESTRUIR</t>
  </si>
  <si>
    <t>TIEMPO DE DESTRUCCIÓN DE CAJAS EN MESES</t>
  </si>
  <si>
    <t>CANTIDAD DE CAJAS A DESTRUIR POR MES</t>
  </si>
  <si>
    <t>VALOR DE CUSTODIA POR MES</t>
  </si>
  <si>
    <t>GASTO CORRIENTE</t>
  </si>
  <si>
    <t>GASTO POR DESTRUCCIÓN</t>
  </si>
  <si>
    <t>TOTAL GASTO CORRIENTE</t>
  </si>
  <si>
    <t>INVERSIÓN POR DIGITALIZACIÓN</t>
  </si>
  <si>
    <t xml:space="preserve">PAGO POR CUSTODIA DIGITAL MENSUAL </t>
  </si>
  <si>
    <t xml:space="preserve">PAGO POR CUSTODIA FÍSICA MENSUAL </t>
  </si>
  <si>
    <t>Valor Mensual de Almacenamiento</t>
  </si>
  <si>
    <t xml:space="preserve">VALOR DE CUSTODIA ACTUAL </t>
  </si>
  <si>
    <t>VALOR DE DIGITALIZACIÓN</t>
  </si>
  <si>
    <t xml:space="preserve">VALOR DE ORDENAMIENTO POR FILE </t>
  </si>
  <si>
    <t>Cantidad de Files</t>
  </si>
  <si>
    <t>VALOR DE AHORRO POR DESTRUCCIÓN MENSUAL</t>
  </si>
  <si>
    <t>Periodo Destrucción en Meses</t>
  </si>
  <si>
    <t>PROPUESTA DE IMPLEMENTACIÓN DE SOLUCIÓN INTEGRAL DEL ADMINISTRACIÓN DOCUMENTAL FÍSICA Y DIGITAL</t>
  </si>
  <si>
    <t>Ecuaquímica</t>
  </si>
  <si>
    <t>BÚSQUEDA DE DESTRUCCIÓN POR CAJA</t>
  </si>
  <si>
    <t>Valor de búsqueda por destrucción</t>
  </si>
  <si>
    <t>Valor de Búsqueda Mensual</t>
  </si>
  <si>
    <t>PERIODO DE EVACUACIÓN DE CAJAS</t>
  </si>
  <si>
    <t>TOTAL INVERSIÓN POR BÚSQUEDA MENSUAL</t>
  </si>
  <si>
    <t>Cantidad de Cajas Destruidas por Mes</t>
  </si>
  <si>
    <t>Total de Cajas Destruidas</t>
  </si>
  <si>
    <t>TOTAL DE CAJAS NUEVAS A CANCELAR POR MES</t>
  </si>
  <si>
    <t>Cajas Nuevas para Custodia</t>
  </si>
  <si>
    <t>AHORRO MENSUAL</t>
  </si>
  <si>
    <t>DIGITALIZACIÓN Y EXTRACCIÓN DE INFORMACIÓN</t>
  </si>
  <si>
    <t>INVERSIÓN POR BÚSQUEDA DE CAJAS</t>
  </si>
  <si>
    <t>VALORES PROYECTADOS DE INVERSIÓN A 3 MESES</t>
  </si>
  <si>
    <t>CANTIDAD DE FILES POR CAJA</t>
  </si>
  <si>
    <t>TOTAL DE FILES A INDEXAR</t>
  </si>
  <si>
    <t>Valor Mensual por Cajas para  Custodia</t>
  </si>
  <si>
    <t>Valor Mensual por Indexación por File</t>
  </si>
  <si>
    <t>VALOR DE INVERSIÓN INICIAL</t>
  </si>
  <si>
    <t>Valor Kit de Almacenamiento</t>
  </si>
  <si>
    <t>Cantidad de Kit de Almacenamiento</t>
  </si>
  <si>
    <t>Valor de Ordenamiento</t>
  </si>
  <si>
    <t>Cantidad de Cajas a Ordenar</t>
  </si>
  <si>
    <t>Valor Mensual por Extracción de Información</t>
  </si>
  <si>
    <t>Cantidad de Extracción de Información</t>
  </si>
  <si>
    <t xml:space="preserve">DETALLE </t>
  </si>
  <si>
    <t xml:space="preserve">Enero </t>
  </si>
  <si>
    <t>Febrero</t>
  </si>
  <si>
    <t>Marzo</t>
  </si>
  <si>
    <t>Abril</t>
  </si>
  <si>
    <t>Mayo</t>
  </si>
  <si>
    <t>Junio</t>
  </si>
  <si>
    <t>Julio</t>
  </si>
  <si>
    <t>Septiembre</t>
  </si>
  <si>
    <t>Octubre</t>
  </si>
  <si>
    <t>Noviembre</t>
  </si>
  <si>
    <t>Diciembre</t>
  </si>
  <si>
    <t>Ordenamiento</t>
  </si>
  <si>
    <t>Traslado</t>
  </si>
  <si>
    <t>Destrucción</t>
  </si>
  <si>
    <t>P.V.P.</t>
  </si>
  <si>
    <t>Servicio</t>
  </si>
  <si>
    <t>Indexacion File</t>
  </si>
  <si>
    <t>Indexación por File</t>
  </si>
  <si>
    <t>TOTAL ENERO</t>
  </si>
  <si>
    <t>TOTAL FEBRERO</t>
  </si>
  <si>
    <t>TOTAL MARZO</t>
  </si>
  <si>
    <t>TOTAL ABRIL</t>
  </si>
  <si>
    <t>TOTAL MAYO</t>
  </si>
  <si>
    <t>TOTAL JUNIO</t>
  </si>
  <si>
    <t>TOTAL AGOSTO</t>
  </si>
  <si>
    <t>TOTAL SEPTIEMBRE</t>
  </si>
  <si>
    <t>TOTAL JULIO</t>
  </si>
  <si>
    <t>TOTAL OCTUBRE</t>
  </si>
  <si>
    <t>TOTAL NOVIEMBRE</t>
  </si>
  <si>
    <t>TOTAL DICIEMBRE</t>
  </si>
  <si>
    <t>VALOR ANUAL REAL</t>
  </si>
  <si>
    <t>VALOR QUE ASUMIRÁ DATA</t>
  </si>
  <si>
    <t>CANT.</t>
  </si>
  <si>
    <t>SALDO A FAVOR O EN CONTRA ECUAQUIMICA</t>
  </si>
  <si>
    <t>SALDO A FAVOR O EN CONTRA EQ</t>
  </si>
  <si>
    <t>VALOR ANUAL PROYECTADO/APROBADO</t>
  </si>
  <si>
    <t>Agosto</t>
  </si>
  <si>
    <t>VALOR QUE ASUMIRÁ DATASOLUTION</t>
  </si>
  <si>
    <t>Com. Pagada</t>
  </si>
  <si>
    <t>Pagada</t>
  </si>
  <si>
    <t>Com. Por Cobrar</t>
  </si>
  <si>
    <t>Diferencia</t>
  </si>
  <si>
    <t>Por Cobrar</t>
  </si>
  <si>
    <t>Presupuesto pago a proveedor Datasolutions año 2020 - $24000</t>
  </si>
  <si>
    <t>Detalle mes</t>
  </si>
  <si>
    <t>Detalle de factura</t>
  </si>
  <si>
    <t>Total factura</t>
  </si>
  <si>
    <t>001-002-1020</t>
  </si>
  <si>
    <t>001-002-1021</t>
  </si>
  <si>
    <t>001-002-1203</t>
  </si>
  <si>
    <t>001-002-1208</t>
  </si>
  <si>
    <t>001-002-1209</t>
  </si>
  <si>
    <t>001-002-1423</t>
  </si>
  <si>
    <t>001-002-1452</t>
  </si>
  <si>
    <t xml:space="preserve">Total facturado </t>
  </si>
  <si>
    <t>Nos queda presupuesto</t>
  </si>
  <si>
    <t>IVA</t>
  </si>
  <si>
    <t>Presupuesto Real</t>
  </si>
  <si>
    <t>PRECIOS</t>
  </si>
  <si>
    <t>Custodia Física</t>
  </si>
  <si>
    <t>Custodia Digital</t>
  </si>
  <si>
    <t>FLUJO</t>
  </si>
  <si>
    <t>FACTURADO</t>
  </si>
  <si>
    <t>Busqueda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</si>
  <si>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</si>
  <si>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</si>
  <si>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</si>
  <si>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</si>
  <si>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</si>
  <si>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</si>
  <si>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</si>
  <si>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</si>
  <si>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</si>
  <si>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</si>
  <si>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</si>
  <si>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</si>
  <si>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Digitalización /Extracción</t>
  </si>
  <si>
    <t xml:space="preserve">TOTAL FLUJO </t>
  </si>
  <si>
    <t>TOTAL FACTURADO</t>
  </si>
  <si>
    <t>001-002-1544</t>
  </si>
  <si>
    <t>001-002-1680</t>
  </si>
  <si>
    <t>VALOR ANTERIOR</t>
  </si>
  <si>
    <t>Nª DE FACTURA</t>
  </si>
  <si>
    <t>MES DE FACTURACIÓN</t>
  </si>
  <si>
    <t>FECHA</t>
  </si>
  <si>
    <t>VALOR</t>
  </si>
  <si>
    <t>DIFERENCIA</t>
  </si>
  <si>
    <t>TOTAL</t>
  </si>
  <si>
    <t>001-002-1832</t>
  </si>
  <si>
    <t>001-002-1926</t>
  </si>
  <si>
    <t>FACTURACION</t>
  </si>
  <si>
    <t>001-002-2028</t>
  </si>
  <si>
    <t>001-002-2176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</si>
</sst>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 &quot;$&quot;* #,##0.00_ ;_ &quot;$&quot;* \-#,##0.00_ ;_ &quot;$&quot;* &quot;-&quot;??_ ;_ @_ "/>
    <numFmt numFmtId="165" formatCode="_(&quot;$&quot;* #,##0.00_);_(&quot;$&quot;* \(#,##0.00\);_(&quot;$&quot;* &quot;-&quot;??_);_(@_)"/>
    <numFmt numFmtId="166" formatCode="_ [$$-300A]* #,##0.00_ ;_ [$$-300A]* \-#,##0.00_ ;_ [$$-300A]* &quot;-&quot;??_ ;_ @_ "/>
    <numFmt numFmtId="167" formatCode="_([$$-300A]\ * #,##0.00_);_([$$-300A]\ * \(#,##0.00\);_([$$-300A]\ * &quot;-&quot;??_);_(@_)"/>
    <numFmt numFmtId="168" formatCode="_-&quot;$&quot;* #,##0.00_-;\-&quot;$&quot;* #,##0.00_-;_-&quot;$&quot;* &quot;-&quot;??_-;_-@_-"/>
    <numFmt numFmtId="169" formatCode="_-&quot;$&quot;* #,##0.000_-;\-&quot;$&quot;* #,##0.000_-;_-&quot;$&quot;* &quot;-&quot;??_-;_-@_-"/>
    <numFmt numFmtId="170" formatCode="_ &quot;$&quot;* #,##0.0000_ ;_ &quot;$&quot;* \-#,##0.0000_ ;_ &quot;$&quot;* &quot;-&quot;??_ ;_ @_ "/>
    <numFmt numFmtId="171" formatCode="_-&quot;$&quot;* #,##0.0000_-;\-&quot;$&quot;* #,##0.0000_-;_-&quot;$&quot;* &quot;-&quot;??_-;_-@_-"/>
    <numFmt numFmtId="172" formatCode="_ &quot;$&quot;* #,##0.00_ ;_ &quot;$&quot;* \-#,##0.00_ ;_ &quot;$&quot;* &quot;-&quot;????_ ;_ @_ "/>
    <numFmt numFmtId="173" formatCode="_ &quot;$&quot;* #,##0.0000_ ;_ &quot;$&quot;* \-#,##0.0000_ ;_ &quot;$&quot;* &quot;-&quot;????_ ;_ @_ "/>
    <numFmt numFmtId="174" formatCode="_-* #,##0.00\ _€_-;\-* #,##0.00\ _€_-;_-* &quot;-&quot;??\ _€_-;_-@_-"/>
    <numFmt numFmtId="175" formatCode="_-[$$-409]* #,##0.00_ ;_-[$$-409]* \-#,##0.00\ ;_-[$$-409]* &quot;-&quot;??_ ;_-@_ 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D4D4D4"/>
      </left>
      <right style="medium">
        <color rgb="FFD4D4D4"/>
      </right>
      <top/>
      <bottom style="medium">
        <color rgb="FFD4D4D4"/>
      </bottom>
      <diagonal/>
    </border>
    <border>
      <left/>
      <right style="medium">
        <color rgb="FFD4D4D4"/>
      </right>
      <top/>
      <bottom style="medium">
        <color rgb="FFD4D4D4"/>
      </bottom>
      <diagonal/>
    </border>
    <border>
      <left/>
      <right style="medium">
        <color rgb="FFD4D4D4"/>
      </right>
      <top/>
      <bottom/>
      <diagonal/>
    </border>
    <border>
      <left style="medium">
        <color rgb="FFD4D4D4"/>
      </left>
      <right/>
      <top/>
      <bottom style="medium">
        <color rgb="FFD4D4D4"/>
      </bottom>
      <diagonal/>
    </border>
    <border>
      <left/>
      <right/>
      <top/>
      <bottom style="medium">
        <color rgb="FFD4D4D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172">
    <xf numFmtId="0" fontId="0" fillId="0" borderId="0" xfId="0"/>
    <xf numFmtId="164" fontId="0" fillId="0" borderId="0" xfId="0" applyNumberForma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" fontId="0" fillId="0" borderId="1" xfId="0" applyNumberFormat="1" applyBorder="1"/>
    <xf numFmtId="0" fontId="1" fillId="2" borderId="1" xfId="0" applyFont="1" applyFill="1" applyBorder="1"/>
    <xf numFmtId="0" fontId="2" fillId="3" borderId="1" xfId="0" applyFont="1" applyFill="1" applyBorder="1" applyAlignment="1">
      <alignment horizontal="center"/>
    </xf>
    <xf numFmtId="165" fontId="0" fillId="0" borderId="1" xfId="0" applyNumberFormat="1" applyBorder="1"/>
    <xf numFmtId="0" fontId="2" fillId="4" borderId="1" xfId="0" applyFont="1" applyFill="1" applyBorder="1" applyAlignment="1">
      <alignment horizontal="center"/>
    </xf>
    <xf numFmtId="166" fontId="2" fillId="4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166" fontId="4" fillId="5" borderId="1" xfId="0" applyNumberFormat="1" applyFont="1" applyFill="1" applyBorder="1" applyAlignment="1">
      <alignment horizontal="center"/>
    </xf>
    <xf numFmtId="168" fontId="1" fillId="4" borderId="1" xfId="0" applyNumberFormat="1" applyFont="1" applyFill="1" applyBorder="1"/>
    <xf numFmtId="1" fontId="0" fillId="0" borderId="1" xfId="0" applyNumberFormat="1" applyBorder="1" applyAlignment="1">
      <alignment horizontal="center"/>
    </xf>
    <xf numFmtId="164" fontId="1" fillId="4" borderId="1" xfId="0" applyNumberFormat="1" applyFont="1" applyFill="1" applyBorder="1"/>
    <xf numFmtId="164" fontId="1" fillId="2" borderId="1" xfId="0" applyNumberFormat="1" applyFont="1" applyFill="1" applyBorder="1"/>
    <xf numFmtId="0" fontId="3" fillId="0" borderId="1" xfId="0" applyFont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65" fontId="1" fillId="7" borderId="1" xfId="0" applyNumberFormat="1" applyFont="1" applyFill="1" applyBorder="1"/>
    <xf numFmtId="167" fontId="1" fillId="7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168" fontId="3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1" fillId="8" borderId="1" xfId="0" applyFont="1" applyFill="1" applyBorder="1"/>
    <xf numFmtId="0" fontId="1" fillId="8" borderId="1" xfId="0" applyFont="1" applyFill="1" applyBorder="1" applyAlignment="1">
      <alignment horizontal="center" vertical="center"/>
    </xf>
    <xf numFmtId="0" fontId="5" fillId="0" borderId="1" xfId="0" applyFont="1" applyBorder="1"/>
    <xf numFmtId="168" fontId="0" fillId="0" borderId="1" xfId="0" applyNumberFormat="1" applyBorder="1"/>
    <xf numFmtId="9" fontId="0" fillId="0" borderId="1" xfId="0" applyNumberFormat="1" applyBorder="1" applyAlignment="1">
      <alignment horizontal="center" vertical="center"/>
    </xf>
    <xf numFmtId="0" fontId="5" fillId="2" borderId="1" xfId="0" applyFont="1" applyFill="1" applyBorder="1"/>
    <xf numFmtId="169" fontId="0" fillId="0" borderId="1" xfId="0" applyNumberFormat="1" applyBorder="1"/>
    <xf numFmtId="0" fontId="5" fillId="4" borderId="1" xfId="0" applyFont="1" applyFill="1" applyBorder="1" applyAlignment="1">
      <alignment horizontal="center" vertical="center"/>
    </xf>
    <xf numFmtId="168" fontId="5" fillId="4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8" fontId="0" fillId="0" borderId="0" xfId="0" applyNumberFormat="1"/>
    <xf numFmtId="9" fontId="5" fillId="4" borderId="1" xfId="0" applyNumberFormat="1" applyFont="1" applyFill="1" applyBorder="1" applyAlignment="1">
      <alignment horizontal="center" vertical="center"/>
    </xf>
    <xf numFmtId="168" fontId="5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9" fontId="5" fillId="2" borderId="7" xfId="0" applyNumberFormat="1" applyFont="1" applyFill="1" applyBorder="1" applyAlignment="1">
      <alignment horizontal="center" vertical="center"/>
    </xf>
    <xf numFmtId="168" fontId="5" fillId="0" borderId="1" xfId="0" applyNumberFormat="1" applyFont="1" applyBorder="1"/>
    <xf numFmtId="168" fontId="0" fillId="0" borderId="7" xfId="0" applyNumberFormat="1" applyBorder="1"/>
    <xf numFmtId="164" fontId="0" fillId="0" borderId="1" xfId="0" applyNumberFormat="1" applyBorder="1" applyAlignment="1">
      <alignment horizontal="center"/>
    </xf>
    <xf numFmtId="1" fontId="1" fillId="7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164" fontId="1" fillId="7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70" fontId="0" fillId="0" borderId="1" xfId="0" applyNumberForma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7" fontId="2" fillId="3" borderId="1" xfId="0" applyNumberFormat="1" applyFont="1" applyFill="1" applyBorder="1" applyAlignment="1">
      <alignment horizontal="center"/>
    </xf>
    <xf numFmtId="170" fontId="0" fillId="0" borderId="1" xfId="0" applyNumberFormat="1" applyBorder="1"/>
    <xf numFmtId="171" fontId="0" fillId="0" borderId="1" xfId="0" applyNumberFormat="1" applyBorder="1"/>
    <xf numFmtId="0" fontId="2" fillId="6" borderId="1" xfId="0" applyFont="1" applyFill="1" applyBorder="1" applyAlignment="1">
      <alignment horizontal="center" vertical="center"/>
    </xf>
    <xf numFmtId="168" fontId="2" fillId="6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72" fontId="1" fillId="2" borderId="0" xfId="0" applyNumberFormat="1" applyFont="1" applyFill="1"/>
    <xf numFmtId="164" fontId="1" fillId="2" borderId="1" xfId="0" applyNumberFormat="1" applyFont="1" applyFill="1" applyBorder="1" applyAlignment="1">
      <alignment horizontal="center"/>
    </xf>
    <xf numFmtId="0" fontId="8" fillId="0" borderId="0" xfId="0" applyFont="1"/>
    <xf numFmtId="164" fontId="8" fillId="0" borderId="0" xfId="0" applyNumberFormat="1" applyFont="1"/>
    <xf numFmtId="0" fontId="8" fillId="0" borderId="2" xfId="0" applyFont="1" applyBorder="1"/>
    <xf numFmtId="0" fontId="8" fillId="0" borderId="11" xfId="0" applyFont="1" applyBorder="1"/>
    <xf numFmtId="0" fontId="8" fillId="0" borderId="7" xfId="0" applyFont="1" applyBorder="1"/>
    <xf numFmtId="164" fontId="8" fillId="2" borderId="2" xfId="0" applyNumberFormat="1" applyFont="1" applyFill="1" applyBorder="1"/>
    <xf numFmtId="164" fontId="8" fillId="2" borderId="11" xfId="0" applyNumberFormat="1" applyFont="1" applyFill="1" applyBorder="1"/>
    <xf numFmtId="0" fontId="9" fillId="2" borderId="0" xfId="0" applyFont="1" applyFill="1" applyAlignment="1">
      <alignment horizontal="center" vertical="center"/>
    </xf>
    <xf numFmtId="164" fontId="9" fillId="2" borderId="0" xfId="0" applyNumberFormat="1" applyFont="1" applyFill="1"/>
    <xf numFmtId="0" fontId="9" fillId="4" borderId="0" xfId="0" applyFont="1" applyFill="1" applyAlignment="1">
      <alignment horizontal="center" vertical="center"/>
    </xf>
    <xf numFmtId="166" fontId="9" fillId="4" borderId="0" xfId="0" applyNumberFormat="1" applyFont="1" applyFill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0" borderId="7" xfId="0" applyFont="1" applyFill="1" applyBorder="1"/>
    <xf numFmtId="170" fontId="8" fillId="2" borderId="7" xfId="0" applyNumberFormat="1" applyFont="1" applyFill="1" applyBorder="1"/>
    <xf numFmtId="173" fontId="8" fillId="0" borderId="0" xfId="0" applyNumberFormat="1" applyFont="1"/>
    <xf numFmtId="0" fontId="9" fillId="2" borderId="0" xfId="0" applyNumberFormat="1" applyFont="1" applyFill="1"/>
    <xf numFmtId="166" fontId="8" fillId="0" borderId="0" xfId="0" applyNumberFormat="1" applyFont="1"/>
    <xf numFmtId="0" fontId="9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164" fontId="8" fillId="0" borderId="11" xfId="0" applyNumberFormat="1" applyFont="1" applyBorder="1"/>
    <xf numFmtId="164" fontId="8" fillId="0" borderId="7" xfId="0" applyNumberFormat="1" applyFont="1" applyBorder="1"/>
    <xf numFmtId="0" fontId="9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64" fontId="9" fillId="2" borderId="1" xfId="0" applyNumberFormat="1" applyFont="1" applyFill="1" applyBorder="1"/>
    <xf numFmtId="166" fontId="9" fillId="4" borderId="1" xfId="0" applyNumberFormat="1" applyFont="1" applyFill="1" applyBorder="1" applyAlignment="1">
      <alignment horizontal="center" vertical="center"/>
    </xf>
    <xf numFmtId="166" fontId="0" fillId="0" borderId="0" xfId="0" applyNumberFormat="1"/>
    <xf numFmtId="164" fontId="9" fillId="6" borderId="1" xfId="0" applyNumberFormat="1" applyFont="1" applyFill="1" applyBorder="1"/>
    <xf numFmtId="166" fontId="10" fillId="5" borderId="1" xfId="0" applyNumberFormat="1" applyFont="1" applyFill="1" applyBorder="1"/>
    <xf numFmtId="166" fontId="11" fillId="4" borderId="1" xfId="0" applyNumberFormat="1" applyFont="1" applyFill="1" applyBorder="1"/>
    <xf numFmtId="14" fontId="0" fillId="2" borderId="1" xfId="0" applyNumberFormat="1" applyFill="1" applyBorder="1"/>
    <xf numFmtId="0" fontId="9" fillId="0" borderId="0" xfId="0" applyFont="1" applyFill="1" applyBorder="1" applyAlignment="1">
      <alignment vertical="center"/>
    </xf>
    <xf numFmtId="0" fontId="10" fillId="5" borderId="1" xfId="0" applyFont="1" applyFill="1" applyBorder="1" applyAlignment="1">
      <alignment vertical="center"/>
    </xf>
    <xf numFmtId="164" fontId="10" fillId="5" borderId="1" xfId="0" applyNumberFormat="1" applyFont="1" applyFill="1" applyBorder="1"/>
    <xf numFmtId="0" fontId="13" fillId="0" borderId="12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3" fillId="0" borderId="12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14" fillId="0" borderId="13" xfId="0" applyFont="1" applyBorder="1" applyAlignment="1">
      <alignment horizontal="right" vertical="center" wrapText="1"/>
    </xf>
    <xf numFmtId="164" fontId="13" fillId="0" borderId="13" xfId="0" applyNumberFormat="1" applyFont="1" applyBorder="1" applyAlignment="1">
      <alignment vertical="center" wrapText="1"/>
    </xf>
    <xf numFmtId="164" fontId="13" fillId="0" borderId="13" xfId="0" applyNumberFormat="1" applyFont="1" applyBorder="1" applyAlignment="1">
      <alignment horizontal="right" vertical="center" wrapText="1"/>
    </xf>
    <xf numFmtId="0" fontId="14" fillId="9" borderId="12" xfId="0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 wrapText="1"/>
    </xf>
    <xf numFmtId="0" fontId="14" fillId="9" borderId="14" xfId="0" applyFont="1" applyFill="1" applyBorder="1" applyAlignment="1">
      <alignment horizontal="center" vertical="center" wrapText="1"/>
    </xf>
    <xf numFmtId="164" fontId="15" fillId="0" borderId="13" xfId="0" applyNumberFormat="1" applyFont="1" applyBorder="1" applyAlignment="1">
      <alignment horizontal="right" vertical="center" wrapText="1"/>
    </xf>
    <xf numFmtId="9" fontId="14" fillId="0" borderId="13" xfId="1" applyFont="1" applyBorder="1" applyAlignment="1">
      <alignment horizontal="center" vertical="center" wrapText="1"/>
    </xf>
    <xf numFmtId="9" fontId="0" fillId="0" borderId="0" xfId="0" applyNumberFormat="1"/>
    <xf numFmtId="164" fontId="8" fillId="0" borderId="11" xfId="0" applyNumberFormat="1" applyFont="1" applyBorder="1" applyAlignment="1">
      <alignment horizontal="center"/>
    </xf>
    <xf numFmtId="164" fontId="8" fillId="0" borderId="7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17" xfId="0" applyFont="1" applyBorder="1"/>
    <xf numFmtId="0" fontId="8" fillId="0" borderId="6" xfId="0" applyFont="1" applyBorder="1"/>
    <xf numFmtId="1" fontId="8" fillId="0" borderId="11" xfId="0" applyNumberFormat="1" applyFont="1" applyBorder="1" applyAlignment="1">
      <alignment horizontal="center"/>
    </xf>
    <xf numFmtId="14" fontId="9" fillId="6" borderId="1" xfId="0" applyNumberFormat="1" applyFont="1" applyFill="1" applyBorder="1" applyAlignment="1">
      <alignment horizontal="center" vertical="center"/>
    </xf>
    <xf numFmtId="164" fontId="8" fillId="6" borderId="18" xfId="0" applyNumberFormat="1" applyFont="1" applyFill="1" applyBorder="1"/>
    <xf numFmtId="164" fontId="8" fillId="6" borderId="5" xfId="0" applyNumberFormat="1" applyFont="1" applyFill="1" applyBorder="1"/>
    <xf numFmtId="164" fontId="8" fillId="2" borderId="7" xfId="0" applyNumberFormat="1" applyFont="1" applyFill="1" applyBorder="1"/>
    <xf numFmtId="170" fontId="8" fillId="0" borderId="11" xfId="0" applyNumberFormat="1" applyFont="1" applyBorder="1" applyAlignment="1">
      <alignment horizontal="center"/>
    </xf>
    <xf numFmtId="164" fontId="8" fillId="2" borderId="17" xfId="0" applyNumberFormat="1" applyFont="1" applyFill="1" applyBorder="1"/>
    <xf numFmtId="164" fontId="8" fillId="2" borderId="6" xfId="0" applyNumberFormat="1" applyFont="1" applyFill="1" applyBorder="1"/>
    <xf numFmtId="0" fontId="9" fillId="6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174" fontId="0" fillId="0" borderId="0" xfId="0" applyNumberFormat="1"/>
    <xf numFmtId="0" fontId="16" fillId="4" borderId="0" xfId="0" applyFont="1" applyFill="1" applyAlignment="1">
      <alignment horizontal="center" vertical="center"/>
    </xf>
    <xf numFmtId="175" fontId="16" fillId="4" borderId="0" xfId="0" applyNumberFormat="1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9" fontId="16" fillId="2" borderId="0" xfId="1" applyFont="1" applyFill="1" applyAlignment="1">
      <alignment horizontal="center" vertical="center"/>
    </xf>
    <xf numFmtId="10" fontId="16" fillId="2" borderId="0" xfId="1" applyNumberFormat="1" applyFont="1" applyFill="1" applyAlignment="1">
      <alignment horizontal="center" vertical="center"/>
    </xf>
    <xf numFmtId="0" fontId="18" fillId="5" borderId="0" xfId="0" applyFont="1" applyFill="1" applyAlignment="1">
      <alignment horizontal="center" vertical="center"/>
    </xf>
    <xf numFmtId="14" fontId="18" fillId="5" borderId="0" xfId="0" applyNumberFormat="1" applyFont="1" applyFill="1" applyAlignment="1">
      <alignment horizontal="center" vertical="center"/>
    </xf>
    <xf numFmtId="175" fontId="18" fillId="5" borderId="0" xfId="0" applyNumberFormat="1" applyFont="1" applyFill="1" applyAlignment="1">
      <alignment horizontal="center" vertical="center"/>
    </xf>
    <xf numFmtId="14" fontId="17" fillId="0" borderId="0" xfId="0" applyNumberFormat="1" applyFont="1" applyAlignment="1">
      <alignment horizontal="center" vertical="center"/>
    </xf>
    <xf numFmtId="175" fontId="17" fillId="0" borderId="0" xfId="0" applyNumberFormat="1" applyFont="1" applyAlignment="1">
      <alignment horizontal="center" vertical="center"/>
    </xf>
    <xf numFmtId="0" fontId="1" fillId="0" borderId="0" xfId="0" applyFont="1"/>
    <xf numFmtId="0" fontId="7" fillId="4" borderId="8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/>
    </xf>
    <xf numFmtId="14" fontId="9" fillId="4" borderId="8" xfId="0" applyNumberFormat="1" applyFont="1" applyFill="1" applyBorder="1" applyAlignment="1">
      <alignment horizontal="center" vertical="center"/>
    </xf>
    <xf numFmtId="14" fontId="9" fillId="4" borderId="10" xfId="0" applyNumberFormat="1" applyFont="1" applyFill="1" applyBorder="1" applyAlignment="1">
      <alignment horizontal="center" vertical="center"/>
    </xf>
    <xf numFmtId="164" fontId="9" fillId="6" borderId="8" xfId="0" applyNumberFormat="1" applyFont="1" applyFill="1" applyBorder="1" applyAlignment="1">
      <alignment horizontal="center"/>
    </xf>
    <xf numFmtId="164" fontId="9" fillId="6" borderId="10" xfId="0" applyNumberFormat="1" applyFont="1" applyFill="1" applyBorder="1" applyAlignment="1">
      <alignment horizontal="center"/>
    </xf>
    <xf numFmtId="164" fontId="9" fillId="2" borderId="8" xfId="0" applyNumberFormat="1" applyFont="1" applyFill="1" applyBorder="1" applyAlignment="1">
      <alignment horizontal="center"/>
    </xf>
    <xf numFmtId="164" fontId="9" fillId="2" borderId="10" xfId="0" applyNumberFormat="1" applyFont="1" applyFill="1" applyBorder="1" applyAlignment="1">
      <alignment horizontal="center"/>
    </xf>
    <xf numFmtId="14" fontId="9" fillId="4" borderId="9" xfId="0" applyNumberFormat="1" applyFont="1" applyFill="1" applyBorder="1" applyAlignment="1">
      <alignment horizontal="center" vertical="center"/>
    </xf>
    <xf numFmtId="14" fontId="9" fillId="0" borderId="8" xfId="0" applyNumberFormat="1" applyFont="1" applyBorder="1" applyAlignment="1">
      <alignment horizontal="center" vertical="center"/>
    </xf>
    <xf numFmtId="14" fontId="9" fillId="0" borderId="9" xfId="0" applyNumberFormat="1" applyFont="1" applyBorder="1" applyAlignment="1">
      <alignment horizontal="center" vertical="center"/>
    </xf>
    <xf numFmtId="14" fontId="9" fillId="0" borderId="10" xfId="0" applyNumberFormat="1" applyFont="1" applyBorder="1" applyAlignment="1">
      <alignment horizontal="center" vertical="center"/>
    </xf>
    <xf numFmtId="0" fontId="14" fillId="6" borderId="15" xfId="0" applyFont="1" applyFill="1" applyBorder="1" applyAlignment="1">
      <alignment horizontal="center" vertical="center" wrapText="1"/>
    </xf>
    <xf numFmtId="0" fontId="14" fillId="6" borderId="16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48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F62CF-1C14-406B-8CDD-DB85574BAB0E}">
  <sheetPr>
    <pageSetUpPr fitToPage="1"/>
  </sheetPr>
  <dimension ref="A2:O198"/>
  <sheetViews>
    <sheetView topLeftCell="B35" workbookViewId="0">
      <selection activeCell="M38" sqref="M38:N38"/>
    </sheetView>
  </sheetViews>
  <sheetFormatPr baseColWidth="10" defaultRowHeight="15" outlineLevelRow="1" x14ac:dyDescent="0.25"/>
  <cols>
    <col min="1" max="1" width="6.5703125" bestFit="1" customWidth="1"/>
    <col min="2" max="2" width="40.5703125" bestFit="1" customWidth="1"/>
    <col min="3" max="3" width="14.85546875" customWidth="1"/>
    <col min="4" max="4" width="13.7109375" customWidth="1"/>
    <col min="5" max="5" width="12.85546875" customWidth="1"/>
    <col min="6" max="6" width="13.7109375" customWidth="1"/>
    <col min="7" max="7" width="14" customWidth="1"/>
    <col min="8" max="8" width="13.28515625" customWidth="1"/>
    <col min="9" max="9" width="13.7109375" customWidth="1"/>
    <col min="10" max="10" width="13.85546875" customWidth="1"/>
    <col min="11" max="11" width="13.85546875" bestFit="1" customWidth="1"/>
    <col min="12" max="14" width="13.28515625" bestFit="1" customWidth="1"/>
  </cols>
  <sheetData>
    <row r="2" spans="2:8" ht="15.75" x14ac:dyDescent="0.25">
      <c r="B2" s="142" t="s">
        <v>57</v>
      </c>
      <c r="C2" s="143"/>
      <c r="D2" s="143"/>
      <c r="E2" s="143"/>
      <c r="F2" s="143"/>
      <c r="G2" s="143"/>
      <c r="H2" s="144"/>
    </row>
    <row r="5" spans="2:8" x14ac:dyDescent="0.25">
      <c r="B5" s="9" t="s">
        <v>9</v>
      </c>
      <c r="C5" s="19">
        <f>'Analisis de Costos'!E5</f>
        <v>3208.92</v>
      </c>
      <c r="E5" s="1"/>
      <c r="F5" s="1"/>
      <c r="G5" s="75" t="s">
        <v>99</v>
      </c>
      <c r="H5" s="75" t="s">
        <v>98</v>
      </c>
    </row>
    <row r="6" spans="2:8" x14ac:dyDescent="0.25">
      <c r="G6" s="65" t="s">
        <v>95</v>
      </c>
      <c r="H6" s="68">
        <v>1.86</v>
      </c>
    </row>
    <row r="7" spans="2:8" x14ac:dyDescent="0.25">
      <c r="B7" s="10" t="s">
        <v>39</v>
      </c>
      <c r="C7" s="17">
        <f>'Analisis de Costos'!D19</f>
        <v>1200</v>
      </c>
      <c r="G7" s="66" t="s">
        <v>100</v>
      </c>
      <c r="H7" s="69">
        <v>0.25</v>
      </c>
    </row>
    <row r="8" spans="2:8" x14ac:dyDescent="0.25">
      <c r="B8" s="10" t="s">
        <v>72</v>
      </c>
      <c r="C8" s="17">
        <v>8</v>
      </c>
      <c r="G8" s="66" t="s">
        <v>96</v>
      </c>
      <c r="H8" s="69">
        <v>0.44</v>
      </c>
    </row>
    <row r="9" spans="2:8" x14ac:dyDescent="0.25">
      <c r="B9" s="10" t="s">
        <v>73</v>
      </c>
      <c r="C9" s="17">
        <f>C7*C8</f>
        <v>9600</v>
      </c>
      <c r="G9" s="76" t="s">
        <v>4</v>
      </c>
      <c r="H9" s="77">
        <v>0.60160000000000002</v>
      </c>
    </row>
    <row r="10" spans="2:8" x14ac:dyDescent="0.25">
      <c r="B10" s="10" t="s">
        <v>41</v>
      </c>
      <c r="C10" s="6">
        <f>'Analisis de Costos'!E7</f>
        <v>3</v>
      </c>
    </row>
    <row r="11" spans="2:8" x14ac:dyDescent="0.25">
      <c r="B11" s="10" t="s">
        <v>40</v>
      </c>
      <c r="C11" s="6">
        <f>'Analisis de Costos'!C5</f>
        <v>2431</v>
      </c>
      <c r="E11" s="61">
        <f>C11*C14</f>
        <v>1462.4896000000001</v>
      </c>
    </row>
    <row r="12" spans="2:8" x14ac:dyDescent="0.25">
      <c r="B12" s="10" t="s">
        <v>42</v>
      </c>
      <c r="C12" s="17">
        <f>'Analisis de Costos'!E9</f>
        <v>810.33333333333337</v>
      </c>
    </row>
    <row r="13" spans="2:8" x14ac:dyDescent="0.25">
      <c r="B13" s="10" t="s">
        <v>59</v>
      </c>
      <c r="C13" s="45">
        <f>'Analisis de Costos'!D5</f>
        <v>1.32</v>
      </c>
    </row>
    <row r="14" spans="2:8" x14ac:dyDescent="0.25">
      <c r="B14" s="10" t="s">
        <v>43</v>
      </c>
      <c r="C14" s="52">
        <f>'Analisis de Costos'!D14</f>
        <v>0.60160000000000002</v>
      </c>
    </row>
    <row r="15" spans="2:8" x14ac:dyDescent="0.25">
      <c r="B15" s="10" t="s">
        <v>52</v>
      </c>
      <c r="C15" s="52">
        <v>0.1171</v>
      </c>
    </row>
    <row r="16" spans="2:8" x14ac:dyDescent="0.25">
      <c r="B16" s="10" t="s">
        <v>53</v>
      </c>
      <c r="C16" s="62">
        <f>'Ecuaquimica Destrucción'!K6</f>
        <v>0.25</v>
      </c>
    </row>
    <row r="18" spans="2:14" x14ac:dyDescent="0.25">
      <c r="B18" s="10" t="s">
        <v>62</v>
      </c>
      <c r="C18" s="54">
        <v>43831</v>
      </c>
      <c r="D18" s="54">
        <v>43862</v>
      </c>
      <c r="E18" s="54">
        <v>43891</v>
      </c>
      <c r="F18" s="54">
        <v>43922</v>
      </c>
      <c r="G18" s="54">
        <v>43952</v>
      </c>
      <c r="H18" s="54">
        <v>43983</v>
      </c>
      <c r="I18" s="54">
        <v>44013</v>
      </c>
      <c r="J18" s="54">
        <v>44044</v>
      </c>
      <c r="K18" s="54">
        <v>44075</v>
      </c>
      <c r="L18" s="54">
        <v>44105</v>
      </c>
      <c r="M18" s="54">
        <v>44136</v>
      </c>
      <c r="N18" s="54">
        <v>44166</v>
      </c>
    </row>
    <row r="19" spans="2:14" x14ac:dyDescent="0.25">
      <c r="B19" s="21" t="s">
        <v>70</v>
      </c>
      <c r="C19" s="22">
        <f t="shared" ref="C19:N19" si="0">SUM(C20:C20)</f>
        <v>1069.6400000000001</v>
      </c>
      <c r="D19" s="22">
        <f t="shared" si="0"/>
        <v>1069.6400000000001</v>
      </c>
      <c r="E19" s="22">
        <f t="shared" si="0"/>
        <v>1069.6400000000001</v>
      </c>
      <c r="F19" s="22">
        <f t="shared" si="0"/>
        <v>0</v>
      </c>
      <c r="G19" s="22">
        <f t="shared" si="0"/>
        <v>0</v>
      </c>
      <c r="H19" s="22">
        <f t="shared" si="0"/>
        <v>0</v>
      </c>
      <c r="I19" s="22">
        <f t="shared" si="0"/>
        <v>0</v>
      </c>
      <c r="J19" s="22">
        <f t="shared" si="0"/>
        <v>0</v>
      </c>
      <c r="K19" s="22">
        <f t="shared" si="0"/>
        <v>0</v>
      </c>
      <c r="L19" s="22">
        <f t="shared" si="0"/>
        <v>0</v>
      </c>
      <c r="M19" s="22">
        <f t="shared" si="0"/>
        <v>0</v>
      </c>
      <c r="N19" s="22">
        <f t="shared" si="0"/>
        <v>0</v>
      </c>
    </row>
    <row r="20" spans="2:14" outlineLevel="1" x14ac:dyDescent="0.25">
      <c r="B20" s="20" t="s">
        <v>60</v>
      </c>
      <c r="C20" s="11">
        <f>$C21*$C$13</f>
        <v>1069.6400000000001</v>
      </c>
      <c r="D20" s="11">
        <f>$D21*$C$13</f>
        <v>1069.6400000000001</v>
      </c>
      <c r="E20" s="11">
        <f>$E21*$C$13</f>
        <v>1069.6400000000001</v>
      </c>
      <c r="F20" s="11">
        <f>$F21*$C$13</f>
        <v>0</v>
      </c>
      <c r="G20" s="11">
        <f>$G21*$C$13</f>
        <v>0</v>
      </c>
      <c r="H20" s="11">
        <f>$H21*$C$13</f>
        <v>0</v>
      </c>
      <c r="I20" s="11">
        <f>$H21*$C$13</f>
        <v>0</v>
      </c>
      <c r="J20" s="11">
        <f t="shared" ref="J20:N20" si="1">$H21*$C$13</f>
        <v>0</v>
      </c>
      <c r="K20" s="11">
        <f t="shared" si="1"/>
        <v>0</v>
      </c>
      <c r="L20" s="11">
        <f t="shared" si="1"/>
        <v>0</v>
      </c>
      <c r="M20" s="11">
        <f t="shared" si="1"/>
        <v>0</v>
      </c>
      <c r="N20" s="11">
        <f t="shared" si="1"/>
        <v>0</v>
      </c>
    </row>
    <row r="21" spans="2:14" outlineLevel="1" x14ac:dyDescent="0.25">
      <c r="B21" s="20" t="s">
        <v>64</v>
      </c>
      <c r="C21" s="48">
        <f>C12</f>
        <v>810.33333333333337</v>
      </c>
      <c r="D21" s="48">
        <f>C12</f>
        <v>810.33333333333337</v>
      </c>
      <c r="E21" s="48">
        <f>C12</f>
        <v>810.33333333333337</v>
      </c>
      <c r="F21" s="48">
        <v>0</v>
      </c>
      <c r="G21" s="48">
        <f t="shared" ref="G21:H21" si="2">F21</f>
        <v>0</v>
      </c>
      <c r="H21" s="48">
        <f t="shared" si="2"/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</row>
    <row r="22" spans="2:14" outlineLevel="1" x14ac:dyDescent="0.25">
      <c r="B22" s="20" t="s">
        <v>65</v>
      </c>
      <c r="C22" s="48">
        <f>C21</f>
        <v>810.33333333333337</v>
      </c>
      <c r="D22" s="48">
        <f>C22+D21</f>
        <v>1620.6666666666667</v>
      </c>
      <c r="E22" s="48">
        <f t="shared" ref="E22:H22" si="3">D22+E21</f>
        <v>2431</v>
      </c>
      <c r="F22" s="48">
        <v>0</v>
      </c>
      <c r="G22" s="48">
        <f t="shared" si="3"/>
        <v>0</v>
      </c>
      <c r="H22" s="48">
        <f t="shared" si="3"/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</row>
    <row r="24" spans="2:14" x14ac:dyDescent="0.25">
      <c r="B24" s="12" t="s">
        <v>63</v>
      </c>
      <c r="C24" s="13">
        <f t="shared" ref="C24:N24" si="4">SUM(C19)</f>
        <v>1069.6400000000001</v>
      </c>
      <c r="D24" s="13">
        <f t="shared" si="4"/>
        <v>1069.6400000000001</v>
      </c>
      <c r="E24" s="13">
        <f t="shared" si="4"/>
        <v>1069.6400000000001</v>
      </c>
      <c r="F24" s="13">
        <f t="shared" si="4"/>
        <v>0</v>
      </c>
      <c r="G24" s="13">
        <f t="shared" si="4"/>
        <v>0</v>
      </c>
      <c r="H24" s="13">
        <f t="shared" si="4"/>
        <v>0</v>
      </c>
      <c r="I24" s="13">
        <f t="shared" si="4"/>
        <v>0</v>
      </c>
      <c r="J24" s="13">
        <f t="shared" si="4"/>
        <v>0</v>
      </c>
      <c r="K24" s="13">
        <f t="shared" si="4"/>
        <v>0</v>
      </c>
      <c r="L24" s="13">
        <f t="shared" si="4"/>
        <v>0</v>
      </c>
      <c r="M24" s="13">
        <f t="shared" si="4"/>
        <v>0</v>
      </c>
      <c r="N24" s="13">
        <f t="shared" si="4"/>
        <v>0</v>
      </c>
    </row>
    <row r="25" spans="2:14" x14ac:dyDescent="0.25">
      <c r="B25" s="12" t="s">
        <v>71</v>
      </c>
      <c r="C25" s="13">
        <f>C24</f>
        <v>1069.6400000000001</v>
      </c>
      <c r="D25" s="13">
        <f>C25+D24</f>
        <v>2139.2800000000002</v>
      </c>
      <c r="E25" s="13">
        <f>D25+E24</f>
        <v>3208.92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</row>
    <row r="27" spans="2:14" x14ac:dyDescent="0.25">
      <c r="B27" s="10" t="s">
        <v>44</v>
      </c>
      <c r="C27" s="54">
        <v>43831</v>
      </c>
      <c r="D27" s="54">
        <v>43862</v>
      </c>
      <c r="E27" s="54">
        <v>43891</v>
      </c>
      <c r="F27" s="54">
        <v>43922</v>
      </c>
      <c r="G27" s="54">
        <v>43952</v>
      </c>
      <c r="H27" s="54">
        <v>43983</v>
      </c>
      <c r="I27" s="54">
        <v>44013</v>
      </c>
      <c r="J27" s="54">
        <v>44044</v>
      </c>
      <c r="K27" s="54">
        <v>44075</v>
      </c>
      <c r="L27" s="54">
        <v>44105</v>
      </c>
      <c r="M27" s="54">
        <v>44136</v>
      </c>
      <c r="N27" s="54">
        <v>44166</v>
      </c>
    </row>
    <row r="28" spans="2:14" x14ac:dyDescent="0.25">
      <c r="B28" s="21" t="s">
        <v>45</v>
      </c>
      <c r="C28" s="23">
        <f>SUM(C29)</f>
        <v>1069.6400000000001</v>
      </c>
      <c r="D28" s="23">
        <f t="shared" ref="D28:N28" si="5">SUM(D29)</f>
        <v>1069.6400000000001</v>
      </c>
      <c r="E28" s="23">
        <f t="shared" si="5"/>
        <v>1069.6400000000001</v>
      </c>
      <c r="F28" s="23">
        <f t="shared" si="5"/>
        <v>0</v>
      </c>
      <c r="G28" s="23">
        <f t="shared" si="5"/>
        <v>0</v>
      </c>
      <c r="H28" s="23">
        <f t="shared" si="5"/>
        <v>0</v>
      </c>
      <c r="I28" s="23">
        <f t="shared" si="5"/>
        <v>0</v>
      </c>
      <c r="J28" s="23">
        <f t="shared" si="5"/>
        <v>0</v>
      </c>
      <c r="K28" s="23">
        <f t="shared" si="5"/>
        <v>0</v>
      </c>
      <c r="L28" s="23">
        <f t="shared" si="5"/>
        <v>0</v>
      </c>
      <c r="M28" s="23">
        <f t="shared" si="5"/>
        <v>0</v>
      </c>
      <c r="N28" s="23">
        <f t="shared" si="5"/>
        <v>0</v>
      </c>
    </row>
    <row r="29" spans="2:14" outlineLevel="1" x14ac:dyDescent="0.25">
      <c r="B29" s="24" t="s">
        <v>61</v>
      </c>
      <c r="C29" s="25">
        <f>$C$12*$C$13</f>
        <v>1069.6400000000001</v>
      </c>
      <c r="D29" s="25">
        <f>$C$12*$C$13</f>
        <v>1069.6400000000001</v>
      </c>
      <c r="E29" s="25">
        <f>$C$12*$C$13</f>
        <v>1069.6400000000001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</row>
    <row r="30" spans="2:14" x14ac:dyDescent="0.25">
      <c r="B30" s="21" t="s">
        <v>66</v>
      </c>
      <c r="C30" s="46">
        <f>C31</f>
        <v>0</v>
      </c>
      <c r="D30" s="46">
        <f t="shared" ref="D30:E30" si="6">D31</f>
        <v>0</v>
      </c>
      <c r="E30" s="46">
        <f t="shared" si="6"/>
        <v>0</v>
      </c>
      <c r="F30" s="46">
        <f t="shared" ref="F30:G30" si="7">F31</f>
        <v>400</v>
      </c>
      <c r="G30" s="46">
        <f t="shared" si="7"/>
        <v>800</v>
      </c>
      <c r="H30" s="46">
        <f>H31</f>
        <v>1200</v>
      </c>
      <c r="I30" s="46">
        <f>I31</f>
        <v>1200</v>
      </c>
      <c r="J30" s="46">
        <f t="shared" ref="J30:N30" si="8">J31</f>
        <v>1200</v>
      </c>
      <c r="K30" s="46">
        <f t="shared" si="8"/>
        <v>1200</v>
      </c>
      <c r="L30" s="46">
        <f t="shared" si="8"/>
        <v>1200</v>
      </c>
      <c r="M30" s="46">
        <f t="shared" si="8"/>
        <v>1200</v>
      </c>
      <c r="N30" s="46">
        <f t="shared" si="8"/>
        <v>1200</v>
      </c>
    </row>
    <row r="31" spans="2:14" outlineLevel="1" x14ac:dyDescent="0.25">
      <c r="B31" s="24" t="s">
        <v>67</v>
      </c>
      <c r="C31" s="47">
        <v>0</v>
      </c>
      <c r="D31" s="47">
        <v>0</v>
      </c>
      <c r="E31" s="47">
        <v>0</v>
      </c>
      <c r="F31" s="47">
        <v>400</v>
      </c>
      <c r="G31" s="47">
        <v>800</v>
      </c>
      <c r="H31" s="47">
        <v>1200</v>
      </c>
      <c r="I31" s="47">
        <f t="shared" ref="I31:J31" si="9">H30</f>
        <v>1200</v>
      </c>
      <c r="J31" s="47">
        <f t="shared" si="9"/>
        <v>1200</v>
      </c>
      <c r="K31" s="47">
        <f>J31</f>
        <v>1200</v>
      </c>
      <c r="L31" s="47">
        <f>K31</f>
        <v>1200</v>
      </c>
      <c r="M31" s="47">
        <f>L31</f>
        <v>1200</v>
      </c>
      <c r="N31" s="47">
        <f>M31</f>
        <v>1200</v>
      </c>
    </row>
    <row r="32" spans="2:14" outlineLevel="1" x14ac:dyDescent="0.25">
      <c r="B32" s="21" t="s">
        <v>49</v>
      </c>
      <c r="C32" s="23">
        <f>SUM(C33)</f>
        <v>974.99306666666666</v>
      </c>
      <c r="D32" s="23">
        <f t="shared" ref="D32:M32" si="10">SUM(D33)</f>
        <v>487.49653333333333</v>
      </c>
      <c r="E32" s="23">
        <f t="shared" si="10"/>
        <v>0</v>
      </c>
      <c r="F32" s="23">
        <f t="shared" si="10"/>
        <v>240.64000000000001</v>
      </c>
      <c r="G32" s="23">
        <f t="shared" si="10"/>
        <v>481.28000000000003</v>
      </c>
      <c r="H32" s="23">
        <f t="shared" si="10"/>
        <v>721.92000000000007</v>
      </c>
      <c r="I32" s="23">
        <f t="shared" si="10"/>
        <v>721.92000000000007</v>
      </c>
      <c r="J32" s="23">
        <f t="shared" si="10"/>
        <v>721.92000000000007</v>
      </c>
      <c r="K32" s="23">
        <f t="shared" si="10"/>
        <v>721.92000000000007</v>
      </c>
      <c r="L32" s="23">
        <f t="shared" si="10"/>
        <v>721.92000000000007</v>
      </c>
      <c r="M32" s="23">
        <f t="shared" si="10"/>
        <v>721.92000000000007</v>
      </c>
      <c r="N32" s="23">
        <f>SUM(N33)</f>
        <v>721.92000000000007</v>
      </c>
    </row>
    <row r="33" spans="1:14" x14ac:dyDescent="0.25">
      <c r="B33" s="24" t="s">
        <v>74</v>
      </c>
      <c r="C33" s="25">
        <f>($C$11-$C$22)*$C$14</f>
        <v>974.99306666666666</v>
      </c>
      <c r="D33" s="25">
        <f>($C$11-$D$22)*$C$14</f>
        <v>487.49653333333333</v>
      </c>
      <c r="E33" s="25">
        <f>(($C$11-$E$22)+$E$31)*$C$14</f>
        <v>0</v>
      </c>
      <c r="F33" s="25">
        <f>$F31*$C$14</f>
        <v>240.64000000000001</v>
      </c>
      <c r="G33" s="25">
        <f>$G31*$C$14</f>
        <v>481.28000000000003</v>
      </c>
      <c r="H33" s="25">
        <f>$H31*$C$14</f>
        <v>721.92000000000007</v>
      </c>
      <c r="I33" s="25">
        <f>$H31*$C$14</f>
        <v>721.92000000000007</v>
      </c>
      <c r="J33" s="25">
        <f t="shared" ref="J33:N33" si="11">$H31*$C$14</f>
        <v>721.92000000000007</v>
      </c>
      <c r="K33" s="25">
        <f t="shared" si="11"/>
        <v>721.92000000000007</v>
      </c>
      <c r="L33" s="25">
        <f t="shared" si="11"/>
        <v>721.92000000000007</v>
      </c>
      <c r="M33" s="25">
        <f t="shared" si="11"/>
        <v>721.92000000000007</v>
      </c>
      <c r="N33" s="25">
        <f t="shared" si="11"/>
        <v>721.92000000000007</v>
      </c>
    </row>
    <row r="35" spans="1:14" x14ac:dyDescent="0.25">
      <c r="B35" s="10" t="s">
        <v>69</v>
      </c>
      <c r="C35" s="54">
        <v>43831</v>
      </c>
      <c r="D35" s="54">
        <v>43862</v>
      </c>
      <c r="E35" s="54">
        <v>43891</v>
      </c>
      <c r="F35" s="54">
        <v>43922</v>
      </c>
      <c r="G35" s="54">
        <v>43952</v>
      </c>
      <c r="H35" s="54">
        <v>43983</v>
      </c>
      <c r="I35" s="54">
        <v>44013</v>
      </c>
      <c r="J35" s="54">
        <v>44044</v>
      </c>
      <c r="K35" s="54">
        <v>44075</v>
      </c>
      <c r="L35" s="54">
        <v>44105</v>
      </c>
      <c r="M35" s="54">
        <v>44136</v>
      </c>
      <c r="N35" s="54">
        <v>44166</v>
      </c>
    </row>
    <row r="36" spans="1:14" x14ac:dyDescent="0.25">
      <c r="B36" s="21" t="s">
        <v>47</v>
      </c>
      <c r="C36" s="23">
        <f>SUM(C37)</f>
        <v>0</v>
      </c>
      <c r="D36" s="23">
        <f t="shared" ref="D36:N36" si="12">SUM(D37)</f>
        <v>0</v>
      </c>
      <c r="E36" s="23">
        <f t="shared" si="12"/>
        <v>0</v>
      </c>
      <c r="F36" s="23">
        <f t="shared" si="12"/>
        <v>0</v>
      </c>
      <c r="G36" s="23">
        <f t="shared" si="12"/>
        <v>0</v>
      </c>
      <c r="H36" s="23">
        <f t="shared" si="12"/>
        <v>0</v>
      </c>
      <c r="I36" s="23">
        <f t="shared" si="12"/>
        <v>0</v>
      </c>
      <c r="J36" s="23">
        <f t="shared" si="12"/>
        <v>0</v>
      </c>
      <c r="K36" s="23">
        <f t="shared" si="12"/>
        <v>0</v>
      </c>
      <c r="L36" s="23">
        <f t="shared" si="12"/>
        <v>0</v>
      </c>
      <c r="M36" s="23">
        <f t="shared" si="12"/>
        <v>562.07999999999993</v>
      </c>
      <c r="N36" s="23">
        <f t="shared" si="12"/>
        <v>562.07999999999993</v>
      </c>
    </row>
    <row r="37" spans="1:14" x14ac:dyDescent="0.25">
      <c r="B37" s="24" t="s">
        <v>81</v>
      </c>
      <c r="C37" s="25"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f>'Analisis de Costos'!$D$20-Flujo!J32</f>
        <v>0</v>
      </c>
      <c r="K37" s="25">
        <f>'Analisis de Costos'!$D$20-Flujo!K32</f>
        <v>0</v>
      </c>
      <c r="L37" s="25">
        <f>'Analisis de Costos'!$D$20-Flujo!L32</f>
        <v>0</v>
      </c>
      <c r="M37" s="25">
        <f>M38*C15</f>
        <v>562.07999999999993</v>
      </c>
      <c r="N37" s="25">
        <f>N38*C15</f>
        <v>562.07999999999993</v>
      </c>
    </row>
    <row r="38" spans="1:14" x14ac:dyDescent="0.25">
      <c r="B38" s="24" t="s">
        <v>82</v>
      </c>
      <c r="C38" s="53">
        <f>C37/C15</f>
        <v>0</v>
      </c>
      <c r="D38" s="53">
        <f>D37/C15</f>
        <v>0</v>
      </c>
      <c r="E38" s="53">
        <f>E37/C15</f>
        <v>0</v>
      </c>
      <c r="F38" s="53">
        <f>F37/C15</f>
        <v>0</v>
      </c>
      <c r="G38" s="53">
        <f>G37/C15</f>
        <v>0</v>
      </c>
      <c r="H38" s="53">
        <f>H37/C15</f>
        <v>0</v>
      </c>
      <c r="I38" s="53">
        <f>I37/C15</f>
        <v>0</v>
      </c>
      <c r="J38" s="53">
        <f>J37/C15</f>
        <v>0</v>
      </c>
      <c r="K38" s="53">
        <f>K37/C15</f>
        <v>0</v>
      </c>
      <c r="L38" s="53">
        <f>L37/C15</f>
        <v>0</v>
      </c>
      <c r="M38" s="53">
        <v>4800</v>
      </c>
      <c r="N38" s="53">
        <v>4800</v>
      </c>
    </row>
    <row r="39" spans="1:14" x14ac:dyDescent="0.25">
      <c r="B39" s="21" t="s">
        <v>76</v>
      </c>
      <c r="C39" s="50">
        <f>C40+C42+C44</f>
        <v>0</v>
      </c>
      <c r="D39" s="50">
        <f t="shared" ref="D39:N39" si="13">D40+D42+D44</f>
        <v>0</v>
      </c>
      <c r="E39" s="50">
        <f t="shared" si="13"/>
        <v>867</v>
      </c>
      <c r="F39" s="50">
        <f t="shared" si="13"/>
        <v>867</v>
      </c>
      <c r="G39" s="50">
        <f t="shared" si="13"/>
        <v>867</v>
      </c>
      <c r="H39" s="50">
        <f t="shared" si="13"/>
        <v>867</v>
      </c>
      <c r="I39" s="50">
        <f t="shared" si="13"/>
        <v>867</v>
      </c>
      <c r="J39" s="50">
        <f t="shared" si="13"/>
        <v>867</v>
      </c>
      <c r="K39" s="50">
        <f t="shared" si="13"/>
        <v>867</v>
      </c>
      <c r="L39" s="50">
        <f t="shared" si="13"/>
        <v>867</v>
      </c>
      <c r="M39" s="50">
        <f t="shared" si="13"/>
        <v>0</v>
      </c>
      <c r="N39" s="50">
        <f t="shared" si="13"/>
        <v>0</v>
      </c>
    </row>
    <row r="40" spans="1:14" x14ac:dyDescent="0.25">
      <c r="A40" s="25">
        <v>1.92</v>
      </c>
      <c r="B40" s="24" t="s">
        <v>77</v>
      </c>
      <c r="C40" s="25">
        <f>$A$40*C41</f>
        <v>0</v>
      </c>
      <c r="D40" s="25">
        <f t="shared" ref="D40:G40" si="14">$A$40*D41</f>
        <v>0</v>
      </c>
      <c r="E40" s="25">
        <f t="shared" si="14"/>
        <v>288</v>
      </c>
      <c r="F40" s="25">
        <f t="shared" si="14"/>
        <v>288</v>
      </c>
      <c r="G40" s="25">
        <f t="shared" si="14"/>
        <v>288</v>
      </c>
      <c r="H40" s="25">
        <f t="shared" ref="H40" si="15">$A$40*H41</f>
        <v>288</v>
      </c>
      <c r="I40" s="25">
        <f t="shared" ref="I40" si="16">$A$40*I41</f>
        <v>288</v>
      </c>
      <c r="J40" s="25">
        <f t="shared" ref="J40" si="17">$A$40*J41</f>
        <v>288</v>
      </c>
      <c r="K40" s="25">
        <f t="shared" ref="K40" si="18">$A$40*K41</f>
        <v>288</v>
      </c>
      <c r="L40" s="25">
        <f t="shared" ref="L40" si="19">$A$40*L41</f>
        <v>288</v>
      </c>
      <c r="M40" s="25"/>
      <c r="N40" s="25"/>
    </row>
    <row r="41" spans="1:14" x14ac:dyDescent="0.25">
      <c r="B41" s="24" t="s">
        <v>78</v>
      </c>
      <c r="C41" s="47">
        <f>C31</f>
        <v>0</v>
      </c>
      <c r="D41" s="47">
        <f>D31</f>
        <v>0</v>
      </c>
      <c r="E41" s="47">
        <v>150</v>
      </c>
      <c r="F41" s="47">
        <v>150</v>
      </c>
      <c r="G41" s="47">
        <v>150</v>
      </c>
      <c r="H41" s="47">
        <v>150</v>
      </c>
      <c r="I41" s="47">
        <v>150</v>
      </c>
      <c r="J41" s="47">
        <v>150</v>
      </c>
      <c r="K41" s="47">
        <v>150</v>
      </c>
      <c r="L41" s="47">
        <v>150</v>
      </c>
      <c r="M41" s="47"/>
      <c r="N41" s="47"/>
    </row>
    <row r="42" spans="1:14" x14ac:dyDescent="0.25">
      <c r="A42" s="25">
        <v>1.86</v>
      </c>
      <c r="B42" s="24" t="s">
        <v>79</v>
      </c>
      <c r="C42" s="25">
        <f>C43*$A$42</f>
        <v>0</v>
      </c>
      <c r="D42" s="25">
        <f t="shared" ref="D42:G42" si="20">D43*$A$42</f>
        <v>0</v>
      </c>
      <c r="E42" s="25">
        <f t="shared" si="20"/>
        <v>279</v>
      </c>
      <c r="F42" s="25">
        <f t="shared" si="20"/>
        <v>279</v>
      </c>
      <c r="G42" s="25">
        <f t="shared" si="20"/>
        <v>279</v>
      </c>
      <c r="H42" s="25">
        <f t="shared" ref="H42" si="21">H43*$A$42</f>
        <v>279</v>
      </c>
      <c r="I42" s="25">
        <f t="shared" ref="I42" si="22">I43*$A$42</f>
        <v>279</v>
      </c>
      <c r="J42" s="25">
        <f t="shared" ref="J42" si="23">J43*$A$42</f>
        <v>279</v>
      </c>
      <c r="K42" s="25">
        <f t="shared" ref="K42" si="24">K43*$A$42</f>
        <v>279</v>
      </c>
      <c r="L42" s="25">
        <f t="shared" ref="L42" si="25">L43*$A$42</f>
        <v>279</v>
      </c>
      <c r="M42" s="25"/>
      <c r="N42" s="25"/>
    </row>
    <row r="43" spans="1:14" x14ac:dyDescent="0.25">
      <c r="B43" s="24" t="s">
        <v>80</v>
      </c>
      <c r="C43" s="47">
        <f>C41</f>
        <v>0</v>
      </c>
      <c r="D43" s="47">
        <f t="shared" ref="D43" si="26">D41</f>
        <v>0</v>
      </c>
      <c r="E43" s="47">
        <v>150</v>
      </c>
      <c r="F43" s="47">
        <f>F41</f>
        <v>150</v>
      </c>
      <c r="G43" s="47">
        <f t="shared" ref="G43:L43" si="27">G41</f>
        <v>150</v>
      </c>
      <c r="H43" s="47">
        <f t="shared" si="27"/>
        <v>150</v>
      </c>
      <c r="I43" s="47">
        <f t="shared" si="27"/>
        <v>150</v>
      </c>
      <c r="J43" s="47">
        <f t="shared" si="27"/>
        <v>150</v>
      </c>
      <c r="K43" s="47">
        <f t="shared" si="27"/>
        <v>150</v>
      </c>
      <c r="L43" s="47">
        <f t="shared" si="27"/>
        <v>150</v>
      </c>
      <c r="M43" s="47"/>
      <c r="N43" s="47"/>
    </row>
    <row r="44" spans="1:14" x14ac:dyDescent="0.25">
      <c r="A44" s="25">
        <v>0.3</v>
      </c>
      <c r="B44" s="24" t="s">
        <v>75</v>
      </c>
      <c r="C44" s="51">
        <f t="shared" ref="C44:N44" si="28">C45*$C$16</f>
        <v>0</v>
      </c>
      <c r="D44" s="51">
        <f t="shared" si="28"/>
        <v>0</v>
      </c>
      <c r="E44" s="51">
        <f t="shared" si="28"/>
        <v>300</v>
      </c>
      <c r="F44" s="51">
        <f t="shared" si="28"/>
        <v>300</v>
      </c>
      <c r="G44" s="51">
        <f t="shared" si="28"/>
        <v>300</v>
      </c>
      <c r="H44" s="51">
        <f t="shared" si="28"/>
        <v>300</v>
      </c>
      <c r="I44" s="51">
        <f t="shared" si="28"/>
        <v>300</v>
      </c>
      <c r="J44" s="51">
        <f t="shared" si="28"/>
        <v>300</v>
      </c>
      <c r="K44" s="51">
        <f t="shared" si="28"/>
        <v>300</v>
      </c>
      <c r="L44" s="51">
        <f t="shared" si="28"/>
        <v>300</v>
      </c>
      <c r="M44" s="51">
        <f t="shared" si="28"/>
        <v>0</v>
      </c>
      <c r="N44" s="51">
        <f t="shared" si="28"/>
        <v>0</v>
      </c>
    </row>
    <row r="45" spans="1:14" x14ac:dyDescent="0.25">
      <c r="B45" s="24" t="s">
        <v>54</v>
      </c>
      <c r="C45" s="53">
        <v>0</v>
      </c>
      <c r="D45" s="53">
        <v>0</v>
      </c>
      <c r="E45" s="53">
        <f>$C$9/8</f>
        <v>1200</v>
      </c>
      <c r="F45" s="53">
        <f t="shared" ref="F45:L45" si="29">$C$9/8</f>
        <v>1200</v>
      </c>
      <c r="G45" s="53">
        <f t="shared" si="29"/>
        <v>1200</v>
      </c>
      <c r="H45" s="53">
        <f t="shared" si="29"/>
        <v>1200</v>
      </c>
      <c r="I45" s="53">
        <f t="shared" si="29"/>
        <v>1200</v>
      </c>
      <c r="J45" s="53">
        <f t="shared" si="29"/>
        <v>1200</v>
      </c>
      <c r="K45" s="53">
        <f t="shared" si="29"/>
        <v>1200</v>
      </c>
      <c r="L45" s="53">
        <f t="shared" si="29"/>
        <v>1200</v>
      </c>
      <c r="M45" s="53">
        <v>0</v>
      </c>
      <c r="N45" s="53">
        <v>0</v>
      </c>
    </row>
    <row r="46" spans="1:14" x14ac:dyDescent="0.25">
      <c r="B46" s="21" t="s">
        <v>48</v>
      </c>
      <c r="C46" s="23">
        <f>SUM(C47)</f>
        <v>0</v>
      </c>
      <c r="D46" s="23">
        <f t="shared" ref="D46:N46" si="30">SUM(D47)</f>
        <v>0</v>
      </c>
      <c r="E46" s="23">
        <f t="shared" si="30"/>
        <v>0</v>
      </c>
      <c r="F46" s="23">
        <f t="shared" si="30"/>
        <v>449</v>
      </c>
      <c r="G46" s="23">
        <f t="shared" si="30"/>
        <v>449</v>
      </c>
      <c r="H46" s="23">
        <f t="shared" si="30"/>
        <v>449</v>
      </c>
      <c r="I46" s="23">
        <f t="shared" si="30"/>
        <v>449</v>
      </c>
      <c r="J46" s="23">
        <f t="shared" si="30"/>
        <v>449</v>
      </c>
      <c r="K46" s="23">
        <f t="shared" si="30"/>
        <v>449</v>
      </c>
      <c r="L46" s="23">
        <f t="shared" si="30"/>
        <v>449</v>
      </c>
      <c r="M46" s="23">
        <f t="shared" si="30"/>
        <v>449</v>
      </c>
      <c r="N46" s="23">
        <f t="shared" si="30"/>
        <v>449</v>
      </c>
    </row>
    <row r="47" spans="1:14" x14ac:dyDescent="0.25">
      <c r="B47" s="24" t="s">
        <v>50</v>
      </c>
      <c r="C47" s="25">
        <v>0</v>
      </c>
      <c r="D47" s="25">
        <v>0</v>
      </c>
      <c r="E47" s="25">
        <v>0</v>
      </c>
      <c r="F47" s="25">
        <v>449</v>
      </c>
      <c r="G47" s="25">
        <v>449</v>
      </c>
      <c r="H47" s="25">
        <v>449</v>
      </c>
      <c r="I47" s="25">
        <v>449</v>
      </c>
      <c r="J47" s="25">
        <v>449</v>
      </c>
      <c r="K47" s="25">
        <v>449</v>
      </c>
      <c r="L47" s="25">
        <f t="shared" ref="L47:N47" si="31">K47</f>
        <v>449</v>
      </c>
      <c r="M47" s="25">
        <v>449</v>
      </c>
      <c r="N47" s="25">
        <f t="shared" si="31"/>
        <v>449</v>
      </c>
    </row>
    <row r="49" spans="1:15" x14ac:dyDescent="0.25">
      <c r="B49" s="14" t="s">
        <v>46</v>
      </c>
      <c r="C49" s="15">
        <f>C46+C39+C36+C32+C28</f>
        <v>2044.6330666666668</v>
      </c>
      <c r="D49" s="15">
        <f t="shared" ref="D49:N49" si="32">D46+D39+D36+D32+D28</f>
        <v>1557.1365333333333</v>
      </c>
      <c r="E49" s="15">
        <f t="shared" si="32"/>
        <v>1936.64</v>
      </c>
      <c r="F49" s="15">
        <f t="shared" si="32"/>
        <v>1556.64</v>
      </c>
      <c r="G49" s="15">
        <f t="shared" si="32"/>
        <v>1797.28</v>
      </c>
      <c r="H49" s="15">
        <f t="shared" si="32"/>
        <v>2037.92</v>
      </c>
      <c r="I49" s="15">
        <f t="shared" si="32"/>
        <v>2037.92</v>
      </c>
      <c r="J49" s="15">
        <f t="shared" si="32"/>
        <v>2037.92</v>
      </c>
      <c r="K49" s="15">
        <f t="shared" si="32"/>
        <v>2037.92</v>
      </c>
      <c r="L49" s="15">
        <f t="shared" si="32"/>
        <v>2037.92</v>
      </c>
      <c r="M49" s="15">
        <f t="shared" si="32"/>
        <v>1733</v>
      </c>
      <c r="N49" s="15">
        <f t="shared" si="32"/>
        <v>1733</v>
      </c>
      <c r="O49" s="90">
        <f>SUM(C49:N49)</f>
        <v>22547.929600000003</v>
      </c>
    </row>
    <row r="51" spans="1:15" x14ac:dyDescent="0.25">
      <c r="B51" s="57" t="s">
        <v>51</v>
      </c>
      <c r="C51" s="58">
        <f>$C$11*$C$14</f>
        <v>1462.4896000000001</v>
      </c>
      <c r="D51" s="58">
        <f t="shared" ref="D51:H51" si="33">$C$11*$C$14</f>
        <v>1462.4896000000001</v>
      </c>
      <c r="E51" s="58">
        <f t="shared" si="33"/>
        <v>1462.4896000000001</v>
      </c>
      <c r="F51" s="58">
        <f t="shared" si="33"/>
        <v>1462.4896000000001</v>
      </c>
      <c r="G51" s="58">
        <f t="shared" si="33"/>
        <v>1462.4896000000001</v>
      </c>
      <c r="H51" s="58">
        <f t="shared" si="33"/>
        <v>1462.4896000000001</v>
      </c>
      <c r="I51" s="58">
        <f t="shared" ref="I51:N51" si="34">H51</f>
        <v>1462.4896000000001</v>
      </c>
      <c r="J51" s="58">
        <f t="shared" si="34"/>
        <v>1462.4896000000001</v>
      </c>
      <c r="K51" s="58">
        <f t="shared" si="34"/>
        <v>1462.4896000000001</v>
      </c>
      <c r="L51" s="58">
        <f t="shared" si="34"/>
        <v>1462.4896000000001</v>
      </c>
      <c r="M51" s="58">
        <f t="shared" si="34"/>
        <v>1462.4896000000001</v>
      </c>
      <c r="N51" s="58">
        <f t="shared" si="34"/>
        <v>1462.4896000000001</v>
      </c>
      <c r="O51" s="90">
        <f>SUM(C51:N51)</f>
        <v>17549.875200000006</v>
      </c>
    </row>
    <row r="53" spans="1:15" x14ac:dyDescent="0.25">
      <c r="B53" s="59" t="s">
        <v>68</v>
      </c>
      <c r="C53" s="60">
        <f>C51-C49</f>
        <v>-582.14346666666665</v>
      </c>
      <c r="D53" s="60">
        <f t="shared" ref="D53:N53" si="35">D51-D49</f>
        <v>-94.646933333333209</v>
      </c>
      <c r="E53" s="60">
        <f t="shared" si="35"/>
        <v>-474.15039999999999</v>
      </c>
      <c r="F53" s="60">
        <f t="shared" si="35"/>
        <v>-94.150399999999991</v>
      </c>
      <c r="G53" s="60">
        <f t="shared" si="35"/>
        <v>-334.79039999999986</v>
      </c>
      <c r="H53" s="60">
        <f t="shared" si="35"/>
        <v>-575.43039999999996</v>
      </c>
      <c r="I53" s="60">
        <f t="shared" si="35"/>
        <v>-575.43039999999996</v>
      </c>
      <c r="J53" s="60">
        <f t="shared" si="35"/>
        <v>-575.43039999999996</v>
      </c>
      <c r="K53" s="60">
        <f t="shared" si="35"/>
        <v>-575.43039999999996</v>
      </c>
      <c r="L53" s="60">
        <f t="shared" si="35"/>
        <v>-575.43039999999996</v>
      </c>
      <c r="M53" s="60">
        <f t="shared" si="35"/>
        <v>-270.51039999999989</v>
      </c>
      <c r="N53" s="60">
        <f t="shared" si="35"/>
        <v>-270.51039999999989</v>
      </c>
      <c r="O53" s="90">
        <f>O49-O51</f>
        <v>4998.0543999999973</v>
      </c>
    </row>
    <row r="56" spans="1:15" x14ac:dyDescent="0.25">
      <c r="A56" s="81" t="s">
        <v>116</v>
      </c>
      <c r="B56" s="81" t="s">
        <v>83</v>
      </c>
      <c r="C56" s="74" t="s">
        <v>84</v>
      </c>
      <c r="E56" s="1"/>
    </row>
    <row r="57" spans="1:15" x14ac:dyDescent="0.25">
      <c r="A57" s="63">
        <v>588</v>
      </c>
      <c r="B57" s="63" t="s">
        <v>95</v>
      </c>
      <c r="C57" s="64">
        <f>A57*$H$6</f>
        <v>1093.68</v>
      </c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</row>
    <row r="58" spans="1:15" x14ac:dyDescent="0.25">
      <c r="A58" s="63">
        <v>0</v>
      </c>
      <c r="B58" s="63" t="s">
        <v>101</v>
      </c>
      <c r="C58" s="64">
        <f>A58*$H$7</f>
        <v>0</v>
      </c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</row>
    <row r="59" spans="1:15" x14ac:dyDescent="0.25">
      <c r="A59" s="63">
        <v>588</v>
      </c>
      <c r="B59" s="63" t="s">
        <v>96</v>
      </c>
      <c r="C59" s="64">
        <f>A59*$H$8</f>
        <v>258.72000000000003</v>
      </c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</row>
    <row r="60" spans="1:15" x14ac:dyDescent="0.25">
      <c r="A60" s="63">
        <v>400</v>
      </c>
      <c r="B60" s="63" t="s">
        <v>97</v>
      </c>
      <c r="C60" s="64">
        <f>A60*$C$13</f>
        <v>528</v>
      </c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</row>
    <row r="61" spans="1:15" x14ac:dyDescent="0.25">
      <c r="A61" s="63">
        <v>3019</v>
      </c>
      <c r="B61" s="63" t="s">
        <v>4</v>
      </c>
      <c r="C61" s="64">
        <f>A61*$H$9</f>
        <v>1816.2304000000001</v>
      </c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</row>
    <row r="62" spans="1:15" x14ac:dyDescent="0.25">
      <c r="A62" s="63"/>
      <c r="B62" s="70" t="s">
        <v>102</v>
      </c>
      <c r="C62" s="71">
        <f>SUM(C57:C61)</f>
        <v>3696.6304</v>
      </c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</row>
    <row r="63" spans="1:15" x14ac:dyDescent="0.25">
      <c r="A63" s="63"/>
      <c r="B63" s="72" t="s">
        <v>118</v>
      </c>
      <c r="C63" s="73">
        <f>C49-C62</f>
        <v>-1651.9973333333332</v>
      </c>
      <c r="E63" s="63"/>
      <c r="F63" s="63"/>
      <c r="G63" s="63"/>
      <c r="H63" s="63"/>
      <c r="I63" s="63"/>
      <c r="J63" s="63"/>
      <c r="K63" s="63"/>
      <c r="L63" s="63"/>
      <c r="M63" s="63"/>
      <c r="N63" s="63"/>
    </row>
    <row r="64" spans="1:15" x14ac:dyDescent="0.25">
      <c r="A64" s="81" t="s">
        <v>116</v>
      </c>
      <c r="B64" s="81" t="s">
        <v>83</v>
      </c>
      <c r="C64" s="74"/>
      <c r="D64" s="74" t="s">
        <v>85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</row>
    <row r="65" spans="1:14" x14ac:dyDescent="0.25">
      <c r="A65" s="63">
        <v>0</v>
      </c>
      <c r="B65" s="63" t="s">
        <v>95</v>
      </c>
      <c r="D65" s="64">
        <f>A65*$H$6</f>
        <v>0</v>
      </c>
      <c r="E65" s="63"/>
      <c r="F65" s="63"/>
      <c r="G65" s="63"/>
      <c r="H65" s="63"/>
      <c r="I65" s="63"/>
      <c r="J65" s="63"/>
      <c r="K65" s="63"/>
      <c r="L65" s="63"/>
      <c r="M65" s="63"/>
      <c r="N65" s="63"/>
    </row>
    <row r="66" spans="1:14" x14ac:dyDescent="0.25">
      <c r="A66" s="63">
        <v>2500</v>
      </c>
      <c r="B66" s="63" t="s">
        <v>101</v>
      </c>
      <c r="D66" s="64">
        <f>A66*$H$7</f>
        <v>625</v>
      </c>
      <c r="E66" s="63"/>
      <c r="F66" s="63"/>
      <c r="G66" s="63"/>
      <c r="H66" s="63"/>
      <c r="I66" s="63"/>
      <c r="J66" s="63"/>
      <c r="K66" s="63"/>
      <c r="L66" s="63"/>
      <c r="M66" s="63"/>
      <c r="N66" s="63"/>
    </row>
    <row r="67" spans="1:14" x14ac:dyDescent="0.25">
      <c r="A67" s="63">
        <v>0</v>
      </c>
      <c r="B67" s="63" t="s">
        <v>96</v>
      </c>
      <c r="D67" s="64">
        <f>A67*$H$8</f>
        <v>0</v>
      </c>
      <c r="E67" s="63"/>
      <c r="F67" s="63"/>
      <c r="G67" s="63"/>
      <c r="H67" s="63"/>
      <c r="I67" s="63"/>
      <c r="J67" s="63"/>
      <c r="K67" s="63"/>
      <c r="L67" s="63"/>
      <c r="M67" s="63"/>
      <c r="N67" s="63"/>
    </row>
    <row r="68" spans="1:14" x14ac:dyDescent="0.25">
      <c r="A68" s="63">
        <v>0</v>
      </c>
      <c r="B68" s="63" t="s">
        <v>97</v>
      </c>
      <c r="D68" s="64">
        <f>A68*$C$13</f>
        <v>0</v>
      </c>
      <c r="E68" s="63"/>
      <c r="F68" s="63"/>
      <c r="G68" s="63"/>
      <c r="H68" s="63"/>
      <c r="I68" s="63"/>
      <c r="J68" s="63"/>
      <c r="K68" s="63"/>
      <c r="L68" s="63"/>
      <c r="M68" s="63"/>
      <c r="N68" s="63"/>
    </row>
    <row r="69" spans="1:14" x14ac:dyDescent="0.25">
      <c r="A69" s="63">
        <v>3146</v>
      </c>
      <c r="B69" s="63" t="s">
        <v>4</v>
      </c>
      <c r="D69" s="64">
        <f>A69*$H$9</f>
        <v>1892.6336000000001</v>
      </c>
      <c r="E69" s="63"/>
      <c r="F69" s="63"/>
      <c r="G69" s="63"/>
      <c r="H69" s="63"/>
      <c r="I69" s="63"/>
      <c r="J69" s="63"/>
      <c r="K69" s="63"/>
      <c r="L69" s="63"/>
      <c r="M69" s="63"/>
      <c r="N69" s="63"/>
    </row>
    <row r="70" spans="1:14" x14ac:dyDescent="0.25">
      <c r="A70" s="63"/>
      <c r="B70" s="70" t="s">
        <v>103</v>
      </c>
      <c r="D70" s="71">
        <f>SUM(D65:D69)</f>
        <v>2517.6336000000001</v>
      </c>
      <c r="E70" s="63"/>
      <c r="F70" s="63"/>
      <c r="G70" s="63"/>
      <c r="H70" s="63"/>
      <c r="I70" s="63"/>
      <c r="J70" s="63"/>
      <c r="K70" s="63"/>
      <c r="L70" s="63"/>
      <c r="M70" s="63"/>
      <c r="N70" s="63"/>
    </row>
    <row r="71" spans="1:14" x14ac:dyDescent="0.25">
      <c r="A71" s="63"/>
      <c r="B71" s="72" t="s">
        <v>118</v>
      </c>
      <c r="C71" s="63"/>
      <c r="D71" s="73">
        <f>D49-D70</f>
        <v>-960.4970666666668</v>
      </c>
      <c r="F71" s="63"/>
      <c r="G71" s="63"/>
      <c r="H71" s="63"/>
      <c r="I71" s="63"/>
      <c r="J71" s="63"/>
      <c r="K71" s="63"/>
      <c r="L71" s="63"/>
      <c r="M71" s="63"/>
      <c r="N71" s="63"/>
    </row>
    <row r="72" spans="1:14" x14ac:dyDescent="0.25">
      <c r="A72" s="81" t="s">
        <v>116</v>
      </c>
      <c r="B72" s="81" t="s">
        <v>83</v>
      </c>
      <c r="C72" s="74"/>
      <c r="D72" s="74"/>
      <c r="E72" s="74" t="s">
        <v>86</v>
      </c>
      <c r="F72" s="63"/>
      <c r="G72" s="63"/>
      <c r="H72" s="63"/>
      <c r="I72" s="63"/>
      <c r="J72" s="63"/>
      <c r="K72" s="63"/>
      <c r="L72" s="63"/>
      <c r="M72" s="63"/>
      <c r="N72" s="63"/>
    </row>
    <row r="73" spans="1:14" x14ac:dyDescent="0.25">
      <c r="A73" s="63">
        <v>0</v>
      </c>
      <c r="B73" s="63" t="s">
        <v>95</v>
      </c>
      <c r="C73" s="63"/>
      <c r="D73" s="63"/>
      <c r="E73" s="64">
        <f>A73*$H$6</f>
        <v>0</v>
      </c>
      <c r="F73" s="63"/>
      <c r="G73" s="63"/>
      <c r="H73" s="63"/>
      <c r="I73" s="63"/>
      <c r="J73" s="63"/>
      <c r="K73" s="63"/>
      <c r="L73" s="63"/>
      <c r="M73" s="63"/>
      <c r="N73" s="63"/>
    </row>
    <row r="74" spans="1:14" x14ac:dyDescent="0.25">
      <c r="A74" s="63">
        <v>0</v>
      </c>
      <c r="B74" s="63" t="s">
        <v>101</v>
      </c>
      <c r="C74" s="63"/>
      <c r="D74" s="63"/>
      <c r="E74" s="64">
        <f>A74*$H$7</f>
        <v>0</v>
      </c>
      <c r="F74" s="63"/>
      <c r="G74" s="63"/>
      <c r="H74" s="63"/>
      <c r="I74" s="63"/>
      <c r="J74" s="63"/>
      <c r="K74" s="63"/>
      <c r="L74" s="63"/>
      <c r="M74" s="63"/>
      <c r="N74" s="63"/>
    </row>
    <row r="75" spans="1:14" x14ac:dyDescent="0.25">
      <c r="A75" s="63">
        <v>0</v>
      </c>
      <c r="B75" s="63" t="s">
        <v>96</v>
      </c>
      <c r="C75" s="63"/>
      <c r="D75" s="63"/>
      <c r="E75" s="64">
        <f>A75*$H$8</f>
        <v>0</v>
      </c>
      <c r="F75" s="63"/>
      <c r="G75" s="63"/>
      <c r="H75" s="63"/>
      <c r="I75" s="63"/>
      <c r="J75" s="63"/>
      <c r="K75" s="63"/>
      <c r="L75" s="63"/>
      <c r="M75" s="63"/>
      <c r="N75" s="63"/>
    </row>
    <row r="76" spans="1:14" x14ac:dyDescent="0.25">
      <c r="A76" s="63">
        <v>800</v>
      </c>
      <c r="B76" s="63" t="s">
        <v>97</v>
      </c>
      <c r="C76" s="63"/>
      <c r="D76" s="63"/>
      <c r="E76" s="64">
        <f>A76*$C$13</f>
        <v>1056</v>
      </c>
      <c r="F76" s="63"/>
      <c r="G76" s="63"/>
      <c r="H76" s="63"/>
      <c r="I76" s="63"/>
      <c r="J76" s="63"/>
      <c r="K76" s="63"/>
      <c r="L76" s="63"/>
      <c r="M76" s="63"/>
      <c r="N76" s="63"/>
    </row>
    <row r="77" spans="1:14" x14ac:dyDescent="0.25">
      <c r="A77" s="63">
        <v>2346</v>
      </c>
      <c r="B77" s="63" t="s">
        <v>4</v>
      </c>
      <c r="C77" s="63"/>
      <c r="D77" s="63"/>
      <c r="E77" s="64">
        <f>A77*$H$9</f>
        <v>1411.3536000000001</v>
      </c>
      <c r="F77" s="63"/>
      <c r="G77" s="63"/>
      <c r="H77" s="63"/>
      <c r="I77" s="63"/>
      <c r="J77" s="63"/>
      <c r="K77" s="63"/>
      <c r="L77" s="63"/>
      <c r="M77" s="63"/>
      <c r="N77" s="63"/>
    </row>
    <row r="78" spans="1:14" x14ac:dyDescent="0.25">
      <c r="A78" s="63"/>
      <c r="B78" s="70" t="s">
        <v>104</v>
      </c>
      <c r="C78" s="63"/>
      <c r="D78" s="63"/>
      <c r="E78" s="71">
        <f>SUM(E73:E77)</f>
        <v>2467.3536000000004</v>
      </c>
      <c r="F78" s="63"/>
      <c r="G78" s="63"/>
      <c r="H78" s="63"/>
      <c r="I78" s="63"/>
      <c r="J78" s="63"/>
      <c r="K78" s="63"/>
      <c r="L78" s="63"/>
      <c r="M78" s="63"/>
      <c r="N78" s="63"/>
    </row>
    <row r="79" spans="1:14" x14ac:dyDescent="0.25">
      <c r="A79" s="63"/>
      <c r="B79" s="72" t="s">
        <v>118</v>
      </c>
      <c r="C79" s="63"/>
      <c r="D79" s="63"/>
      <c r="E79" s="73">
        <f>E49-E78</f>
        <v>-530.71360000000027</v>
      </c>
      <c r="G79" s="63"/>
      <c r="H79" s="63"/>
      <c r="I79" s="63"/>
      <c r="J79" s="63"/>
      <c r="K79" s="63"/>
      <c r="L79" s="63"/>
      <c r="M79" s="63"/>
      <c r="N79" s="63"/>
    </row>
    <row r="80" spans="1:14" x14ac:dyDescent="0.25">
      <c r="A80" s="81" t="s">
        <v>116</v>
      </c>
      <c r="B80" s="81" t="s">
        <v>83</v>
      </c>
      <c r="C80" s="74"/>
      <c r="D80" s="74"/>
      <c r="E80" s="74"/>
      <c r="F80" s="74" t="s">
        <v>87</v>
      </c>
      <c r="G80" s="63"/>
      <c r="H80" s="63"/>
      <c r="I80" s="63"/>
      <c r="J80" s="63"/>
      <c r="K80" s="63"/>
      <c r="L80" s="63"/>
      <c r="M80" s="63"/>
      <c r="N80" s="63"/>
    </row>
    <row r="81" spans="1:14" x14ac:dyDescent="0.25">
      <c r="A81" s="63">
        <v>0</v>
      </c>
      <c r="B81" s="63" t="s">
        <v>95</v>
      </c>
      <c r="C81" s="63"/>
      <c r="D81" s="63"/>
      <c r="E81" s="63"/>
      <c r="F81" s="64">
        <f>A81*$H$6</f>
        <v>0</v>
      </c>
      <c r="G81" s="63"/>
      <c r="H81" s="63"/>
      <c r="I81" s="63"/>
      <c r="J81" s="63"/>
      <c r="K81" s="63"/>
      <c r="L81" s="63"/>
      <c r="M81" s="63"/>
      <c r="N81" s="63"/>
    </row>
    <row r="82" spans="1:14" x14ac:dyDescent="0.25">
      <c r="A82" s="63">
        <v>0</v>
      </c>
      <c r="B82" s="63" t="s">
        <v>101</v>
      </c>
      <c r="C82" s="63"/>
      <c r="D82" s="63"/>
      <c r="E82" s="63"/>
      <c r="F82" s="64">
        <f>A82*$H$7</f>
        <v>0</v>
      </c>
      <c r="G82" s="63"/>
      <c r="H82" s="63"/>
      <c r="I82" s="63"/>
      <c r="J82" s="63"/>
      <c r="K82" s="63"/>
      <c r="L82" s="63"/>
      <c r="M82" s="63"/>
      <c r="N82" s="63"/>
    </row>
    <row r="83" spans="1:14" x14ac:dyDescent="0.25">
      <c r="A83" s="63">
        <v>0</v>
      </c>
      <c r="B83" s="63" t="s">
        <v>96</v>
      </c>
      <c r="C83" s="63"/>
      <c r="D83" s="63"/>
      <c r="E83" s="63"/>
      <c r="F83" s="64">
        <f>A83*$H$8</f>
        <v>0</v>
      </c>
      <c r="G83" s="63"/>
      <c r="H83" s="63"/>
      <c r="I83" s="63"/>
      <c r="J83" s="63"/>
      <c r="K83" s="63"/>
      <c r="L83" s="63"/>
      <c r="M83" s="63"/>
      <c r="N83" s="63"/>
    </row>
    <row r="84" spans="1:14" x14ac:dyDescent="0.25">
      <c r="A84" s="63">
        <v>400</v>
      </c>
      <c r="B84" s="63" t="s">
        <v>97</v>
      </c>
      <c r="C84" s="63"/>
      <c r="D84" s="63"/>
      <c r="E84" s="63"/>
      <c r="F84" s="64">
        <f>A84*$C$13</f>
        <v>528</v>
      </c>
      <c r="G84" s="63"/>
      <c r="H84" s="63"/>
      <c r="I84" s="63"/>
      <c r="J84" s="63"/>
      <c r="K84" s="63"/>
      <c r="L84" s="63"/>
      <c r="M84" s="63"/>
      <c r="N84" s="63"/>
    </row>
    <row r="85" spans="1:14" x14ac:dyDescent="0.25">
      <c r="A85" s="63">
        <v>1946</v>
      </c>
      <c r="B85" s="63" t="s">
        <v>4</v>
      </c>
      <c r="C85" s="63"/>
      <c r="D85" s="63"/>
      <c r="E85" s="63"/>
      <c r="F85" s="64">
        <f>A85*$H$9</f>
        <v>1170.7136</v>
      </c>
      <c r="G85" s="63"/>
      <c r="H85" s="63"/>
      <c r="I85" s="63"/>
      <c r="J85" s="63"/>
      <c r="K85" s="63"/>
      <c r="L85" s="63"/>
      <c r="M85" s="63"/>
      <c r="N85" s="63"/>
    </row>
    <row r="86" spans="1:14" x14ac:dyDescent="0.25">
      <c r="A86" s="63"/>
      <c r="B86" s="70" t="s">
        <v>105</v>
      </c>
      <c r="C86" s="63"/>
      <c r="D86" s="63"/>
      <c r="E86" s="63"/>
      <c r="F86" s="71">
        <f>SUM(F81:F85)</f>
        <v>1698.7136</v>
      </c>
      <c r="G86" s="63"/>
      <c r="H86" s="63"/>
      <c r="I86" s="63"/>
      <c r="J86" s="63"/>
      <c r="K86" s="63"/>
      <c r="L86" s="63"/>
      <c r="M86" s="63"/>
      <c r="N86" s="63"/>
    </row>
    <row r="87" spans="1:14" x14ac:dyDescent="0.25">
      <c r="A87" s="63"/>
      <c r="B87" s="72" t="s">
        <v>118</v>
      </c>
      <c r="C87" s="63"/>
      <c r="D87" s="63"/>
      <c r="E87" s="63"/>
      <c r="F87" s="73">
        <f>F49-F86</f>
        <v>-142.07359999999994</v>
      </c>
      <c r="H87" s="63"/>
      <c r="I87" s="63"/>
      <c r="J87" s="63"/>
      <c r="K87" s="63"/>
      <c r="L87" s="63"/>
      <c r="M87" s="63"/>
      <c r="N87" s="63"/>
    </row>
    <row r="88" spans="1:14" x14ac:dyDescent="0.25">
      <c r="A88" s="81" t="s">
        <v>116</v>
      </c>
      <c r="B88" s="81" t="s">
        <v>83</v>
      </c>
      <c r="C88" s="74"/>
      <c r="D88" s="74"/>
      <c r="E88" s="74"/>
      <c r="F88" s="74"/>
      <c r="G88" s="74" t="s">
        <v>88</v>
      </c>
      <c r="H88" s="63"/>
      <c r="I88" s="63"/>
      <c r="J88" s="63"/>
      <c r="K88" s="63"/>
      <c r="L88" s="63"/>
      <c r="M88" s="63"/>
      <c r="N88" s="63"/>
    </row>
    <row r="89" spans="1:14" x14ac:dyDescent="0.25">
      <c r="A89" s="63">
        <v>527</v>
      </c>
      <c r="B89" s="63" t="s">
        <v>95</v>
      </c>
      <c r="C89" s="63"/>
      <c r="D89" s="63"/>
      <c r="E89" s="63"/>
      <c r="F89" s="63"/>
      <c r="G89" s="64">
        <f>A89*$H$6</f>
        <v>980.22</v>
      </c>
      <c r="H89" s="63"/>
      <c r="I89" s="63"/>
      <c r="J89" s="63"/>
      <c r="K89" s="63"/>
      <c r="L89" s="63"/>
      <c r="M89" s="63"/>
      <c r="N89" s="63"/>
    </row>
    <row r="90" spans="1:14" x14ac:dyDescent="0.25">
      <c r="A90" s="63">
        <v>0</v>
      </c>
      <c r="B90" s="63" t="s">
        <v>101</v>
      </c>
      <c r="C90" s="63"/>
      <c r="D90" s="63"/>
      <c r="E90" s="63"/>
      <c r="F90" s="63"/>
      <c r="G90" s="64">
        <f>A90*$H$7</f>
        <v>0</v>
      </c>
      <c r="H90" s="63"/>
      <c r="I90" s="63"/>
      <c r="J90" s="63"/>
      <c r="K90" s="63"/>
      <c r="L90" s="63"/>
      <c r="M90" s="63"/>
      <c r="N90" s="63"/>
    </row>
    <row r="91" spans="1:14" x14ac:dyDescent="0.25">
      <c r="A91" s="63">
        <v>527</v>
      </c>
      <c r="B91" s="63" t="s">
        <v>96</v>
      </c>
      <c r="C91" s="63"/>
      <c r="D91" s="63"/>
      <c r="E91" s="63"/>
      <c r="F91" s="63"/>
      <c r="G91" s="64">
        <f>A91*$H$8</f>
        <v>231.88</v>
      </c>
      <c r="H91" s="63"/>
      <c r="I91" s="63"/>
      <c r="J91" s="63"/>
      <c r="K91" s="63"/>
      <c r="L91" s="63"/>
      <c r="M91" s="63"/>
      <c r="N91" s="63"/>
    </row>
    <row r="92" spans="1:14" x14ac:dyDescent="0.25">
      <c r="A92" s="63">
        <v>0</v>
      </c>
      <c r="B92" s="63" t="s">
        <v>97</v>
      </c>
      <c r="C92" s="63"/>
      <c r="D92" s="63"/>
      <c r="E92" s="63"/>
      <c r="F92" s="63"/>
      <c r="G92" s="64">
        <f>A92*$C$13</f>
        <v>0</v>
      </c>
      <c r="H92" s="63"/>
      <c r="I92" s="63"/>
      <c r="J92" s="63"/>
      <c r="K92" s="63"/>
      <c r="L92" s="63"/>
      <c r="M92" s="63"/>
      <c r="N92" s="63"/>
    </row>
    <row r="93" spans="1:14" x14ac:dyDescent="0.25">
      <c r="A93" s="63">
        <v>1946</v>
      </c>
      <c r="B93" s="63" t="s">
        <v>4</v>
      </c>
      <c r="C93" s="63"/>
      <c r="D93" s="63"/>
      <c r="E93" s="63"/>
      <c r="F93" s="63"/>
      <c r="G93" s="78">
        <f>A93*$H$9</f>
        <v>1170.7136</v>
      </c>
      <c r="H93" s="63"/>
      <c r="I93" s="63"/>
      <c r="J93" s="63"/>
      <c r="K93" s="63"/>
      <c r="L93" s="63"/>
      <c r="M93" s="63"/>
      <c r="N93" s="63"/>
    </row>
    <row r="94" spans="1:14" x14ac:dyDescent="0.25">
      <c r="A94" s="63"/>
      <c r="B94" s="70" t="s">
        <v>106</v>
      </c>
      <c r="C94" s="63"/>
      <c r="D94" s="63"/>
      <c r="E94" s="63"/>
      <c r="F94" s="63"/>
      <c r="G94" s="71">
        <f>SUM(G89:G93)</f>
        <v>2382.8136</v>
      </c>
      <c r="H94" s="63"/>
      <c r="I94" s="63"/>
      <c r="J94" s="63"/>
      <c r="K94" s="63"/>
      <c r="L94" s="63"/>
      <c r="M94" s="63"/>
      <c r="N94" s="63"/>
    </row>
    <row r="95" spans="1:14" x14ac:dyDescent="0.25">
      <c r="A95" s="63"/>
      <c r="B95" s="72" t="s">
        <v>118</v>
      </c>
      <c r="C95" s="63"/>
      <c r="D95" s="63"/>
      <c r="E95" s="63"/>
      <c r="F95" s="63"/>
      <c r="G95" s="73">
        <f>G49-G94</f>
        <v>-585.53359999999998</v>
      </c>
      <c r="I95" s="63"/>
      <c r="J95" s="63"/>
      <c r="K95" s="63"/>
      <c r="L95" s="63"/>
      <c r="M95" s="63"/>
      <c r="N95" s="63"/>
    </row>
    <row r="96" spans="1:14" x14ac:dyDescent="0.25">
      <c r="A96" s="81" t="s">
        <v>116</v>
      </c>
      <c r="B96" s="81" t="s">
        <v>83</v>
      </c>
      <c r="C96" s="74"/>
      <c r="D96" s="74"/>
      <c r="E96" s="74"/>
      <c r="F96" s="74"/>
      <c r="G96" s="74"/>
      <c r="H96" s="74" t="s">
        <v>89</v>
      </c>
      <c r="I96" s="63"/>
      <c r="J96" s="63"/>
      <c r="K96" s="63"/>
      <c r="L96" s="63"/>
      <c r="M96" s="63"/>
      <c r="N96" s="63"/>
    </row>
    <row r="97" spans="1:14" x14ac:dyDescent="0.25">
      <c r="A97" s="63">
        <v>0</v>
      </c>
      <c r="B97" s="63" t="s">
        <v>95</v>
      </c>
      <c r="C97" s="63"/>
      <c r="D97" s="63"/>
      <c r="E97" s="63"/>
      <c r="F97" s="63"/>
      <c r="G97" s="63"/>
      <c r="H97" s="64">
        <f>A97*$H$6</f>
        <v>0</v>
      </c>
      <c r="I97" s="63"/>
      <c r="J97" s="63"/>
      <c r="K97" s="63"/>
      <c r="L97" s="63"/>
      <c r="M97" s="63"/>
      <c r="N97" s="63"/>
    </row>
    <row r="98" spans="1:14" x14ac:dyDescent="0.25">
      <c r="A98" s="63">
        <v>2500</v>
      </c>
      <c r="B98" s="63" t="s">
        <v>101</v>
      </c>
      <c r="C98" s="63"/>
      <c r="D98" s="63"/>
      <c r="E98" s="63"/>
      <c r="F98" s="63"/>
      <c r="G98" s="63"/>
      <c r="H98" s="64">
        <f>A98*$H$7</f>
        <v>625</v>
      </c>
      <c r="I98" s="63"/>
      <c r="J98" s="63"/>
      <c r="K98" s="63"/>
      <c r="L98" s="63"/>
      <c r="M98" s="63"/>
      <c r="N98" s="63"/>
    </row>
    <row r="99" spans="1:14" x14ac:dyDescent="0.25">
      <c r="A99" s="63">
        <v>0</v>
      </c>
      <c r="B99" s="63" t="s">
        <v>96</v>
      </c>
      <c r="C99" s="63"/>
      <c r="D99" s="63"/>
      <c r="E99" s="63"/>
      <c r="F99" s="63"/>
      <c r="G99" s="63"/>
      <c r="H99" s="64">
        <f>A99*$H$8</f>
        <v>0</v>
      </c>
      <c r="I99" s="63"/>
      <c r="J99" s="63"/>
      <c r="K99" s="63"/>
      <c r="L99" s="63"/>
      <c r="M99" s="63"/>
      <c r="N99" s="63"/>
    </row>
    <row r="100" spans="1:14" x14ac:dyDescent="0.25">
      <c r="A100" s="63">
        <v>400</v>
      </c>
      <c r="B100" s="63" t="s">
        <v>97</v>
      </c>
      <c r="C100" s="63"/>
      <c r="D100" s="63"/>
      <c r="E100" s="63"/>
      <c r="F100" s="63"/>
      <c r="G100" s="63"/>
      <c r="H100" s="64">
        <f>A100*$C$13</f>
        <v>528</v>
      </c>
      <c r="I100" s="63"/>
      <c r="J100" s="63"/>
      <c r="K100" s="63"/>
      <c r="L100" s="63"/>
      <c r="M100" s="63"/>
      <c r="N100" s="63"/>
    </row>
    <row r="101" spans="1:14" x14ac:dyDescent="0.25">
      <c r="A101" s="63">
        <v>1946</v>
      </c>
      <c r="B101" s="63" t="s">
        <v>4</v>
      </c>
      <c r="C101" s="63"/>
      <c r="D101" s="63"/>
      <c r="E101" s="63"/>
      <c r="F101" s="63"/>
      <c r="G101" s="63"/>
      <c r="H101" s="78">
        <f>A101*$H$9</f>
        <v>1170.7136</v>
      </c>
      <c r="I101" s="63"/>
      <c r="J101" s="63"/>
      <c r="K101" s="63"/>
      <c r="L101" s="63"/>
      <c r="M101" s="63"/>
      <c r="N101" s="63"/>
    </row>
    <row r="102" spans="1:14" x14ac:dyDescent="0.25">
      <c r="A102" s="63"/>
      <c r="B102" s="70" t="s">
        <v>107</v>
      </c>
      <c r="C102" s="63"/>
      <c r="D102" s="63"/>
      <c r="E102" s="63"/>
      <c r="F102" s="63"/>
      <c r="G102" s="63"/>
      <c r="H102" s="71">
        <f>SUM(H97:H101)</f>
        <v>2323.7136</v>
      </c>
      <c r="I102" s="63"/>
      <c r="J102" s="63"/>
      <c r="K102" s="63"/>
      <c r="L102" s="63"/>
      <c r="M102" s="63"/>
      <c r="N102" s="63"/>
    </row>
    <row r="103" spans="1:14" x14ac:dyDescent="0.25">
      <c r="A103" s="63"/>
      <c r="B103" s="72" t="s">
        <v>118</v>
      </c>
      <c r="C103" s="63"/>
      <c r="D103" s="63"/>
      <c r="E103" s="63"/>
      <c r="F103" s="63"/>
      <c r="G103" s="63"/>
      <c r="H103" s="73">
        <f>H49-H102</f>
        <v>-285.79359999999997</v>
      </c>
      <c r="J103" s="63"/>
      <c r="K103" s="63"/>
      <c r="L103" s="63"/>
      <c r="M103" s="63"/>
      <c r="N103" s="63"/>
    </row>
    <row r="104" spans="1:14" x14ac:dyDescent="0.25">
      <c r="A104" s="81" t="s">
        <v>116</v>
      </c>
      <c r="B104" s="81" t="s">
        <v>83</v>
      </c>
      <c r="C104" s="74"/>
      <c r="D104" s="74"/>
      <c r="E104" s="74"/>
      <c r="F104" s="74"/>
      <c r="G104" s="74"/>
      <c r="H104" s="74"/>
      <c r="I104" s="74" t="s">
        <v>90</v>
      </c>
      <c r="J104" s="63"/>
      <c r="K104" s="63"/>
      <c r="L104" s="63"/>
      <c r="M104" s="63"/>
      <c r="N104" s="63"/>
    </row>
    <row r="105" spans="1:14" x14ac:dyDescent="0.25">
      <c r="A105" s="63">
        <v>300</v>
      </c>
      <c r="B105" s="63" t="s">
        <v>95</v>
      </c>
      <c r="C105" s="63"/>
      <c r="D105" s="63"/>
      <c r="E105" s="63"/>
      <c r="F105" s="63"/>
      <c r="G105" s="63"/>
      <c r="H105" s="63"/>
      <c r="I105" s="64">
        <f>A105*$H$6</f>
        <v>558</v>
      </c>
      <c r="J105" s="63"/>
      <c r="K105" s="63"/>
      <c r="L105" s="63"/>
      <c r="M105" s="63"/>
      <c r="N105" s="63"/>
    </row>
    <row r="106" spans="1:14" x14ac:dyDescent="0.25">
      <c r="A106" s="63">
        <v>0</v>
      </c>
      <c r="B106" s="63" t="s">
        <v>101</v>
      </c>
      <c r="C106" s="63"/>
      <c r="D106" s="63"/>
      <c r="E106" s="63"/>
      <c r="F106" s="63"/>
      <c r="G106" s="63"/>
      <c r="H106" s="63"/>
      <c r="I106" s="64">
        <f>A106*$H$7</f>
        <v>0</v>
      </c>
      <c r="J106" s="63"/>
      <c r="K106" s="63"/>
      <c r="L106" s="63"/>
      <c r="M106" s="63"/>
      <c r="N106" s="63"/>
    </row>
    <row r="107" spans="1:14" x14ac:dyDescent="0.25">
      <c r="A107" s="63">
        <v>300</v>
      </c>
      <c r="B107" s="63" t="s">
        <v>96</v>
      </c>
      <c r="C107" s="63"/>
      <c r="D107" s="63"/>
      <c r="E107" s="63"/>
      <c r="F107" s="63"/>
      <c r="G107" s="63"/>
      <c r="H107" s="63"/>
      <c r="I107" s="64">
        <f>A107*$H$8</f>
        <v>132</v>
      </c>
      <c r="J107" s="63"/>
      <c r="K107" s="63"/>
      <c r="L107" s="63"/>
      <c r="M107" s="63"/>
      <c r="N107" s="63"/>
    </row>
    <row r="108" spans="1:14" x14ac:dyDescent="0.25">
      <c r="A108" s="63">
        <v>400</v>
      </c>
      <c r="B108" s="63" t="s">
        <v>97</v>
      </c>
      <c r="C108" s="63"/>
      <c r="D108" s="63"/>
      <c r="E108" s="63"/>
      <c r="F108" s="63"/>
      <c r="G108" s="63"/>
      <c r="H108" s="63"/>
      <c r="I108" s="64">
        <f>A108*$C$13</f>
        <v>528</v>
      </c>
      <c r="J108" s="63"/>
      <c r="K108" s="63"/>
      <c r="L108" s="63"/>
      <c r="M108" s="63"/>
      <c r="N108" s="63"/>
    </row>
    <row r="109" spans="1:14" x14ac:dyDescent="0.25">
      <c r="A109" s="63">
        <v>1846</v>
      </c>
      <c r="B109" s="63" t="s">
        <v>4</v>
      </c>
      <c r="C109" s="63"/>
      <c r="D109" s="63"/>
      <c r="E109" s="63"/>
      <c r="F109" s="63"/>
      <c r="G109" s="63"/>
      <c r="H109" s="63"/>
      <c r="I109" s="78">
        <f>A109*$H$9</f>
        <v>1110.5536</v>
      </c>
      <c r="J109" s="63"/>
      <c r="K109" s="63"/>
      <c r="L109" s="63"/>
      <c r="M109" s="63"/>
      <c r="N109" s="63"/>
    </row>
    <row r="110" spans="1:14" x14ac:dyDescent="0.25">
      <c r="A110" s="63"/>
      <c r="B110" s="70" t="s">
        <v>110</v>
      </c>
      <c r="C110" s="63"/>
      <c r="D110" s="63"/>
      <c r="E110" s="63"/>
      <c r="F110" s="63"/>
      <c r="G110" s="63"/>
      <c r="H110" s="63"/>
      <c r="I110" s="71">
        <f>SUM(I105:I109)</f>
        <v>2328.5536000000002</v>
      </c>
      <c r="J110" s="63"/>
      <c r="K110" s="63"/>
      <c r="L110" s="63"/>
      <c r="M110" s="63"/>
      <c r="N110" s="63"/>
    </row>
    <row r="111" spans="1:14" x14ac:dyDescent="0.25">
      <c r="A111" s="63"/>
      <c r="B111" s="72" t="s">
        <v>118</v>
      </c>
      <c r="C111" s="63"/>
      <c r="D111" s="63"/>
      <c r="E111" s="63"/>
      <c r="F111" s="63"/>
      <c r="G111" s="63"/>
      <c r="H111" s="63"/>
      <c r="I111" s="73">
        <f>I49-I110</f>
        <v>-290.63360000000011</v>
      </c>
    </row>
    <row r="112" spans="1:14" x14ac:dyDescent="0.25">
      <c r="A112" s="81" t="s">
        <v>116</v>
      </c>
      <c r="B112" s="81" t="s">
        <v>83</v>
      </c>
      <c r="J112" s="74" t="s">
        <v>120</v>
      </c>
    </row>
    <row r="113" spans="1:14" x14ac:dyDescent="0.25">
      <c r="A113" s="63">
        <v>0</v>
      </c>
      <c r="B113" s="63" t="s">
        <v>95</v>
      </c>
      <c r="C113" s="63"/>
      <c r="D113" s="63"/>
      <c r="E113" s="63"/>
      <c r="F113" s="63"/>
      <c r="G113" s="63"/>
      <c r="H113" s="63"/>
      <c r="I113" s="63"/>
      <c r="J113" s="64">
        <f>A113*$H$6</f>
        <v>0</v>
      </c>
      <c r="K113" s="63"/>
      <c r="L113" s="63"/>
      <c r="M113" s="63"/>
      <c r="N113" s="63"/>
    </row>
    <row r="114" spans="1:14" x14ac:dyDescent="0.25">
      <c r="A114" s="63">
        <v>2500</v>
      </c>
      <c r="B114" s="63" t="s">
        <v>101</v>
      </c>
      <c r="C114" s="63"/>
      <c r="D114" s="63"/>
      <c r="E114" s="63"/>
      <c r="F114" s="63"/>
      <c r="G114" s="63"/>
      <c r="H114" s="63"/>
      <c r="I114" s="63"/>
      <c r="J114" s="64">
        <f>A114*$H$7</f>
        <v>625</v>
      </c>
      <c r="K114" s="63"/>
      <c r="L114" s="63"/>
      <c r="M114" s="63"/>
      <c r="N114" s="63"/>
    </row>
    <row r="115" spans="1:14" x14ac:dyDescent="0.25">
      <c r="A115" s="63">
        <v>0</v>
      </c>
      <c r="B115" s="63" t="s">
        <v>96</v>
      </c>
      <c r="C115" s="63"/>
      <c r="D115" s="63"/>
      <c r="E115" s="63"/>
      <c r="F115" s="63"/>
      <c r="G115" s="63"/>
      <c r="H115" s="63"/>
      <c r="I115" s="63"/>
      <c r="J115" s="64">
        <f>A115*$H$8</f>
        <v>0</v>
      </c>
      <c r="K115" s="63"/>
      <c r="L115" s="63"/>
      <c r="M115" s="63"/>
      <c r="N115" s="63"/>
    </row>
    <row r="116" spans="1:14" x14ac:dyDescent="0.25">
      <c r="A116" s="63">
        <v>0</v>
      </c>
      <c r="B116" s="63" t="s">
        <v>97</v>
      </c>
      <c r="C116" s="63"/>
      <c r="D116" s="63"/>
      <c r="E116" s="63"/>
      <c r="F116" s="63"/>
      <c r="G116" s="63"/>
      <c r="H116" s="63"/>
      <c r="I116" s="63"/>
      <c r="J116" s="64">
        <f>A116*$C$13</f>
        <v>0</v>
      </c>
      <c r="K116" s="63"/>
      <c r="L116" s="63"/>
      <c r="M116" s="63"/>
      <c r="N116" s="63"/>
    </row>
    <row r="117" spans="1:14" x14ac:dyDescent="0.25">
      <c r="A117" s="63">
        <v>1846</v>
      </c>
      <c r="B117" s="63" t="s">
        <v>4</v>
      </c>
      <c r="C117" s="63"/>
      <c r="D117" s="63"/>
      <c r="E117" s="63"/>
      <c r="F117" s="63"/>
      <c r="G117" s="63"/>
      <c r="H117" s="63"/>
      <c r="I117" s="63"/>
      <c r="J117" s="78">
        <f>A117*$H$9</f>
        <v>1110.5536</v>
      </c>
      <c r="K117" s="63"/>
      <c r="L117" s="63"/>
      <c r="M117" s="63"/>
      <c r="N117" s="63"/>
    </row>
    <row r="118" spans="1:14" x14ac:dyDescent="0.25">
      <c r="A118" s="63"/>
      <c r="B118" s="70" t="s">
        <v>108</v>
      </c>
      <c r="C118" s="63"/>
      <c r="D118" s="63"/>
      <c r="E118" s="63"/>
      <c r="F118" s="63"/>
      <c r="G118" s="63"/>
      <c r="H118" s="63"/>
      <c r="I118" s="63"/>
      <c r="J118" s="71">
        <f>SUM(J113:J117)</f>
        <v>1735.5536</v>
      </c>
      <c r="K118" s="63"/>
      <c r="L118" s="63"/>
      <c r="M118" s="63"/>
      <c r="N118" s="63"/>
    </row>
    <row r="119" spans="1:14" x14ac:dyDescent="0.25">
      <c r="A119" s="63"/>
      <c r="B119" s="72" t="s">
        <v>118</v>
      </c>
      <c r="C119" s="63"/>
      <c r="D119" s="63"/>
      <c r="E119" s="63"/>
      <c r="F119" s="63"/>
      <c r="G119" s="63"/>
      <c r="H119" s="63"/>
      <c r="I119" s="63"/>
      <c r="J119" s="73">
        <f>J49-J118</f>
        <v>302.36640000000011</v>
      </c>
      <c r="L119" s="63"/>
      <c r="M119" s="63"/>
      <c r="N119" s="63"/>
    </row>
    <row r="120" spans="1:14" x14ac:dyDescent="0.25">
      <c r="A120" s="81" t="s">
        <v>116</v>
      </c>
      <c r="B120" s="81" t="s">
        <v>83</v>
      </c>
      <c r="C120" s="74"/>
      <c r="D120" s="74"/>
      <c r="E120" s="74"/>
      <c r="F120" s="74"/>
      <c r="G120" s="74"/>
      <c r="H120" s="74"/>
      <c r="I120" s="74"/>
      <c r="J120" s="74"/>
      <c r="K120" s="74" t="s">
        <v>91</v>
      </c>
      <c r="L120" s="63"/>
      <c r="M120" s="63"/>
      <c r="N120" s="63"/>
    </row>
    <row r="121" spans="1:14" x14ac:dyDescent="0.25">
      <c r="A121" s="63">
        <v>0</v>
      </c>
      <c r="B121" s="63" t="s">
        <v>95</v>
      </c>
      <c r="C121" s="63"/>
      <c r="D121" s="63"/>
      <c r="E121" s="63"/>
      <c r="F121" s="63"/>
      <c r="G121" s="63"/>
      <c r="H121" s="63"/>
      <c r="I121" s="63"/>
      <c r="J121" s="63"/>
      <c r="K121" s="64">
        <f>A121*$H$6</f>
        <v>0</v>
      </c>
      <c r="L121" s="63"/>
      <c r="M121" s="63"/>
      <c r="N121" s="63"/>
    </row>
    <row r="122" spans="1:14" x14ac:dyDescent="0.25">
      <c r="A122" s="63">
        <v>2500</v>
      </c>
      <c r="B122" s="63" t="s">
        <v>101</v>
      </c>
      <c r="C122" s="63"/>
      <c r="D122" s="63"/>
      <c r="E122" s="63"/>
      <c r="F122" s="63"/>
      <c r="G122" s="63"/>
      <c r="H122" s="63"/>
      <c r="I122" s="63"/>
      <c r="J122" s="63"/>
      <c r="K122" s="64">
        <f>A122*$H$7</f>
        <v>625</v>
      </c>
      <c r="L122" s="63"/>
      <c r="M122" s="63"/>
      <c r="N122" s="63"/>
    </row>
    <row r="123" spans="1:14" x14ac:dyDescent="0.25">
      <c r="A123" s="63">
        <v>0</v>
      </c>
      <c r="B123" s="63" t="s">
        <v>96</v>
      </c>
      <c r="C123" s="63"/>
      <c r="D123" s="63"/>
      <c r="E123" s="63"/>
      <c r="F123" s="63"/>
      <c r="G123" s="63"/>
      <c r="H123" s="63"/>
      <c r="I123" s="63"/>
      <c r="J123" s="63"/>
      <c r="K123" s="64">
        <f>A123*$H$8</f>
        <v>0</v>
      </c>
      <c r="L123" s="63"/>
      <c r="M123" s="63"/>
      <c r="N123" s="63"/>
    </row>
    <row r="124" spans="1:14" x14ac:dyDescent="0.25">
      <c r="A124" s="63">
        <v>0</v>
      </c>
      <c r="B124" s="63" t="s">
        <v>97</v>
      </c>
      <c r="C124" s="63"/>
      <c r="D124" s="63"/>
      <c r="E124" s="63"/>
      <c r="F124" s="63"/>
      <c r="G124" s="63"/>
      <c r="H124" s="63"/>
      <c r="I124" s="63"/>
      <c r="J124" s="63"/>
      <c r="K124" s="64">
        <f>A124*$C$13</f>
        <v>0</v>
      </c>
      <c r="L124" s="63"/>
      <c r="M124" s="63"/>
      <c r="N124" s="63"/>
    </row>
    <row r="125" spans="1:14" x14ac:dyDescent="0.25">
      <c r="A125" s="63">
        <v>1846</v>
      </c>
      <c r="B125" s="63" t="s">
        <v>4</v>
      </c>
      <c r="C125" s="63"/>
      <c r="D125" s="63"/>
      <c r="E125" s="63"/>
      <c r="F125" s="63"/>
      <c r="G125" s="63"/>
      <c r="H125" s="63"/>
      <c r="I125" s="63"/>
      <c r="J125" s="63"/>
      <c r="K125" s="78">
        <f>A125*$H$9</f>
        <v>1110.5536</v>
      </c>
      <c r="L125" s="63"/>
      <c r="M125" s="63"/>
      <c r="N125" s="63"/>
    </row>
    <row r="126" spans="1:14" x14ac:dyDescent="0.25">
      <c r="A126" s="63"/>
      <c r="B126" s="70" t="s">
        <v>109</v>
      </c>
      <c r="C126" s="63"/>
      <c r="D126" s="63"/>
      <c r="E126" s="63"/>
      <c r="F126" s="63"/>
      <c r="G126" s="63"/>
      <c r="H126" s="63"/>
      <c r="I126" s="63"/>
      <c r="J126" s="63"/>
      <c r="K126" s="71">
        <f>SUM(K121:K125)</f>
        <v>1735.5536</v>
      </c>
      <c r="L126" s="63"/>
      <c r="M126" s="63"/>
      <c r="N126" s="63"/>
    </row>
    <row r="127" spans="1:14" x14ac:dyDescent="0.25">
      <c r="A127" s="63"/>
      <c r="B127" s="72" t="s">
        <v>118</v>
      </c>
      <c r="C127" s="63"/>
      <c r="D127" s="63"/>
      <c r="E127" s="63"/>
      <c r="F127" s="63"/>
      <c r="G127" s="63"/>
      <c r="H127" s="63"/>
      <c r="I127" s="63"/>
      <c r="J127" s="63"/>
      <c r="K127" s="73">
        <f>K49-K126</f>
        <v>302.36640000000011</v>
      </c>
    </row>
    <row r="128" spans="1:14" x14ac:dyDescent="0.25">
      <c r="A128" s="81" t="s">
        <v>116</v>
      </c>
      <c r="B128" s="81" t="s">
        <v>83</v>
      </c>
      <c r="C128" s="74"/>
      <c r="D128" s="74"/>
      <c r="E128" s="74"/>
      <c r="F128" s="74"/>
      <c r="G128" s="74"/>
      <c r="H128" s="74"/>
      <c r="I128" s="74"/>
      <c r="J128" s="74"/>
      <c r="K128" s="74"/>
      <c r="L128" s="74" t="s">
        <v>92</v>
      </c>
    </row>
    <row r="129" spans="1:14" x14ac:dyDescent="0.25">
      <c r="A129" s="63">
        <v>0</v>
      </c>
      <c r="B129" s="63" t="s">
        <v>95</v>
      </c>
      <c r="C129" s="63"/>
      <c r="D129" s="63"/>
      <c r="E129" s="63"/>
      <c r="F129" s="63"/>
      <c r="G129" s="63"/>
      <c r="H129" s="63"/>
      <c r="I129" s="63"/>
      <c r="J129" s="63"/>
      <c r="K129" s="63"/>
      <c r="L129" s="64">
        <f>A129*$H$6</f>
        <v>0</v>
      </c>
      <c r="M129" s="63"/>
      <c r="N129" s="63"/>
    </row>
    <row r="130" spans="1:14" x14ac:dyDescent="0.25">
      <c r="A130" s="63">
        <v>0</v>
      </c>
      <c r="B130" s="63" t="s">
        <v>101</v>
      </c>
      <c r="C130" s="63"/>
      <c r="D130" s="63"/>
      <c r="E130" s="63"/>
      <c r="F130" s="63"/>
      <c r="G130" s="63"/>
      <c r="H130" s="63"/>
      <c r="I130" s="63"/>
      <c r="J130" s="63"/>
      <c r="K130" s="63"/>
      <c r="L130" s="64">
        <f>A130*$H$7</f>
        <v>0</v>
      </c>
      <c r="M130" s="63"/>
      <c r="N130" s="63"/>
    </row>
    <row r="131" spans="1:14" x14ac:dyDescent="0.25">
      <c r="A131" s="63">
        <v>0</v>
      </c>
      <c r="B131" s="63" t="s">
        <v>96</v>
      </c>
      <c r="C131" s="63"/>
      <c r="D131" s="63"/>
      <c r="E131" s="63"/>
      <c r="F131" s="63"/>
      <c r="G131" s="63"/>
      <c r="H131" s="63"/>
      <c r="I131" s="63"/>
      <c r="J131" s="63"/>
      <c r="K131" s="63"/>
      <c r="L131" s="64">
        <f>A131*$H$8</f>
        <v>0</v>
      </c>
      <c r="M131" s="63"/>
      <c r="N131" s="63"/>
    </row>
    <row r="132" spans="1:14" x14ac:dyDescent="0.25">
      <c r="A132" s="63">
        <v>0</v>
      </c>
      <c r="B132" s="63" t="s">
        <v>97</v>
      </c>
      <c r="C132" s="63"/>
      <c r="D132" s="63"/>
      <c r="E132" s="63"/>
      <c r="F132" s="63"/>
      <c r="G132" s="63"/>
      <c r="H132" s="63"/>
      <c r="I132" s="63"/>
      <c r="J132" s="63"/>
      <c r="K132" s="63"/>
      <c r="L132" s="64">
        <f>A132*$C$13</f>
        <v>0</v>
      </c>
      <c r="M132" s="63"/>
      <c r="N132" s="63"/>
    </row>
    <row r="133" spans="1:14" x14ac:dyDescent="0.25">
      <c r="A133" s="63">
        <v>1846</v>
      </c>
      <c r="B133" s="63" t="s">
        <v>4</v>
      </c>
      <c r="C133" s="63"/>
      <c r="D133" s="63"/>
      <c r="E133" s="63"/>
      <c r="F133" s="63"/>
      <c r="G133" s="63"/>
      <c r="H133" s="63"/>
      <c r="I133" s="63"/>
      <c r="J133" s="63"/>
      <c r="K133" s="63"/>
      <c r="L133" s="78">
        <f>A133*$H$9</f>
        <v>1110.5536</v>
      </c>
      <c r="M133" s="63"/>
      <c r="N133" s="63"/>
    </row>
    <row r="134" spans="1:14" x14ac:dyDescent="0.25">
      <c r="A134" s="63"/>
      <c r="B134" s="70" t="s">
        <v>111</v>
      </c>
      <c r="C134" s="63"/>
      <c r="D134" s="63"/>
      <c r="E134" s="63"/>
      <c r="F134" s="63"/>
      <c r="G134" s="63"/>
      <c r="H134" s="63"/>
      <c r="I134" s="63"/>
      <c r="J134" s="63"/>
      <c r="K134" s="63"/>
      <c r="L134" s="71">
        <f>SUM(L129:L133)</f>
        <v>1110.5536</v>
      </c>
      <c r="M134" s="63"/>
      <c r="N134" s="63"/>
    </row>
    <row r="135" spans="1:14" x14ac:dyDescent="0.25">
      <c r="A135" s="63"/>
      <c r="B135" s="72" t="s">
        <v>118</v>
      </c>
      <c r="C135" s="63"/>
      <c r="D135" s="63"/>
      <c r="E135" s="63"/>
      <c r="F135" s="63"/>
      <c r="G135" s="63"/>
      <c r="H135" s="63"/>
      <c r="I135" s="63"/>
      <c r="J135" s="63"/>
      <c r="K135" s="63"/>
      <c r="L135" s="73">
        <f>L49-L134</f>
        <v>927.36640000000011</v>
      </c>
    </row>
    <row r="136" spans="1:14" x14ac:dyDescent="0.25">
      <c r="A136" s="81" t="s">
        <v>116</v>
      </c>
      <c r="B136" s="81" t="s">
        <v>83</v>
      </c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 t="s">
        <v>93</v>
      </c>
    </row>
    <row r="137" spans="1:14" x14ac:dyDescent="0.25">
      <c r="A137" s="63">
        <v>0</v>
      </c>
      <c r="B137" s="63" t="s">
        <v>95</v>
      </c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4">
        <f>A137*$H$6</f>
        <v>0</v>
      </c>
      <c r="N137" s="63"/>
    </row>
    <row r="138" spans="1:14" x14ac:dyDescent="0.25">
      <c r="A138" s="63">
        <v>0</v>
      </c>
      <c r="B138" s="63" t="s">
        <v>101</v>
      </c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4">
        <f>A138*$H$7</f>
        <v>0</v>
      </c>
      <c r="N138" s="63"/>
    </row>
    <row r="139" spans="1:14" x14ac:dyDescent="0.25">
      <c r="A139" s="63">
        <v>0</v>
      </c>
      <c r="B139" s="63" t="s">
        <v>96</v>
      </c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4">
        <f>A139*$H$8</f>
        <v>0</v>
      </c>
      <c r="N139" s="63"/>
    </row>
    <row r="140" spans="1:14" x14ac:dyDescent="0.25">
      <c r="A140" s="63">
        <v>0</v>
      </c>
      <c r="B140" s="63" t="s">
        <v>97</v>
      </c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4">
        <f>A140*$C$13</f>
        <v>0</v>
      </c>
      <c r="N140" s="63"/>
    </row>
    <row r="141" spans="1:14" x14ac:dyDescent="0.25">
      <c r="A141" s="63">
        <v>1846</v>
      </c>
      <c r="B141" s="63" t="s">
        <v>4</v>
      </c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78">
        <f>A141*$H$9</f>
        <v>1110.5536</v>
      </c>
      <c r="N141" s="63"/>
    </row>
    <row r="142" spans="1:14" x14ac:dyDescent="0.25">
      <c r="A142" s="63"/>
      <c r="B142" s="70" t="s">
        <v>112</v>
      </c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71">
        <f>SUM(M137:M141)</f>
        <v>1110.5536</v>
      </c>
      <c r="N142" s="63"/>
    </row>
    <row r="143" spans="1:14" x14ac:dyDescent="0.25">
      <c r="A143" s="63"/>
      <c r="B143" s="72" t="s">
        <v>118</v>
      </c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73">
        <f>M49-M142</f>
        <v>622.44640000000004</v>
      </c>
    </row>
    <row r="144" spans="1:14" x14ac:dyDescent="0.25">
      <c r="A144" s="81" t="s">
        <v>116</v>
      </c>
      <c r="B144" s="81" t="s">
        <v>83</v>
      </c>
      <c r="C144" s="74"/>
      <c r="D144" s="74"/>
      <c r="E144" s="74"/>
      <c r="F144" s="74"/>
      <c r="G144" s="74"/>
      <c r="H144" s="74"/>
      <c r="I144" s="74"/>
      <c r="J144" s="74"/>
      <c r="K144" s="74"/>
      <c r="L144" s="74"/>
      <c r="M144" s="74"/>
      <c r="N144" s="74" t="s">
        <v>94</v>
      </c>
    </row>
    <row r="145" spans="1:14" x14ac:dyDescent="0.25">
      <c r="A145" s="63">
        <v>0</v>
      </c>
      <c r="B145" s="63" t="s">
        <v>95</v>
      </c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4">
        <f>A145*$H$6</f>
        <v>0</v>
      </c>
    </row>
    <row r="146" spans="1:14" x14ac:dyDescent="0.25">
      <c r="A146" s="63">
        <v>0</v>
      </c>
      <c r="B146" s="63" t="s">
        <v>101</v>
      </c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  <c r="N146" s="64">
        <f>A146*$H$7</f>
        <v>0</v>
      </c>
    </row>
    <row r="147" spans="1:14" x14ac:dyDescent="0.25">
      <c r="A147" s="63">
        <v>0</v>
      </c>
      <c r="B147" s="63" t="s">
        <v>96</v>
      </c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  <c r="N147" s="64">
        <f>A147*$H$8</f>
        <v>0</v>
      </c>
    </row>
    <row r="148" spans="1:14" x14ac:dyDescent="0.25">
      <c r="A148" s="63">
        <v>0</v>
      </c>
      <c r="B148" s="63" t="s">
        <v>97</v>
      </c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  <c r="N148" s="64">
        <f>A148*$C$13</f>
        <v>0</v>
      </c>
    </row>
    <row r="149" spans="1:14" x14ac:dyDescent="0.25">
      <c r="A149" s="63">
        <v>1846</v>
      </c>
      <c r="B149" s="63" t="s">
        <v>4</v>
      </c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  <c r="N149" s="78">
        <f>A149*$H$9</f>
        <v>1110.5536</v>
      </c>
    </row>
    <row r="150" spans="1:14" x14ac:dyDescent="0.25">
      <c r="A150" s="63"/>
      <c r="B150" s="70" t="s">
        <v>113</v>
      </c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  <c r="N150" s="79">
        <f>SUM(N145:N149)</f>
        <v>1110.5536</v>
      </c>
    </row>
    <row r="151" spans="1:14" x14ac:dyDescent="0.25">
      <c r="A151" s="63"/>
      <c r="B151" s="72" t="s">
        <v>118</v>
      </c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  <c r="N151" s="73">
        <f>N49-N150</f>
        <v>622.44640000000004</v>
      </c>
    </row>
    <row r="152" spans="1:14" x14ac:dyDescent="0.25">
      <c r="A152" s="63"/>
      <c r="B152" s="63"/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  <c r="N152" s="63"/>
    </row>
    <row r="153" spans="1:14" x14ac:dyDescent="0.25">
      <c r="A153" s="63"/>
      <c r="B153" s="63"/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  <c r="N153" s="63"/>
    </row>
    <row r="154" spans="1:14" x14ac:dyDescent="0.25">
      <c r="A154" s="63"/>
      <c r="B154" s="63" t="s">
        <v>114</v>
      </c>
      <c r="C154" s="64">
        <f>C62+D70+E78+F86+G94+H102+I110+J118+K126+L134+M142+N150</f>
        <v>24218.179999999997</v>
      </c>
      <c r="D154" s="64">
        <f>C154-O51</f>
        <v>6668.3047999999908</v>
      </c>
      <c r="E154" s="63"/>
      <c r="F154" s="63"/>
      <c r="G154" s="63"/>
      <c r="H154" s="63"/>
      <c r="I154" s="63"/>
      <c r="J154" s="63"/>
      <c r="K154" s="63"/>
      <c r="L154" s="63"/>
      <c r="M154" s="63"/>
      <c r="N154" s="63"/>
    </row>
    <row r="155" spans="1:14" x14ac:dyDescent="0.25">
      <c r="A155" s="63"/>
      <c r="B155" s="63" t="s">
        <v>119</v>
      </c>
      <c r="C155" s="80">
        <f>SUM(C49:N49)</f>
        <v>22547.929600000003</v>
      </c>
      <c r="D155" s="63"/>
      <c r="E155" s="63"/>
      <c r="F155" s="63"/>
      <c r="G155" s="63"/>
      <c r="H155" s="63"/>
      <c r="I155" s="63"/>
      <c r="J155" s="63"/>
      <c r="K155" s="63"/>
      <c r="L155" s="63"/>
      <c r="M155" s="63"/>
      <c r="N155" s="63"/>
    </row>
    <row r="156" spans="1:14" x14ac:dyDescent="0.25">
      <c r="A156" s="63"/>
      <c r="B156" s="63"/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3"/>
      <c r="N156" s="63"/>
    </row>
    <row r="157" spans="1:14" x14ac:dyDescent="0.25">
      <c r="A157" s="63"/>
      <c r="B157" s="63" t="s">
        <v>115</v>
      </c>
      <c r="C157" s="80">
        <f>C155-C154</f>
        <v>-1670.2503999999935</v>
      </c>
      <c r="D157" s="64"/>
      <c r="E157" s="63"/>
      <c r="F157" s="63"/>
      <c r="G157" s="63"/>
      <c r="H157" s="63"/>
      <c r="I157" s="63"/>
      <c r="J157" s="63"/>
      <c r="K157" s="63"/>
      <c r="L157" s="63"/>
      <c r="M157" s="63"/>
      <c r="N157" s="63"/>
    </row>
    <row r="158" spans="1:14" x14ac:dyDescent="0.25">
      <c r="A158" s="63"/>
      <c r="B158" s="63"/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  <c r="N158" s="63"/>
    </row>
    <row r="159" spans="1:14" x14ac:dyDescent="0.25">
      <c r="A159" s="63"/>
      <c r="B159" s="63"/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3"/>
      <c r="N159" s="63"/>
    </row>
    <row r="160" spans="1:14" x14ac:dyDescent="0.25">
      <c r="A160" s="63"/>
      <c r="B160" s="63"/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  <c r="N160" s="63"/>
    </row>
    <row r="161" spans="1:14" x14ac:dyDescent="0.25">
      <c r="A161" s="63"/>
      <c r="B161" s="63"/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3"/>
      <c r="N161" s="63"/>
    </row>
    <row r="162" spans="1:14" x14ac:dyDescent="0.25">
      <c r="A162" s="63"/>
      <c r="B162" s="63"/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  <c r="N162" s="63"/>
    </row>
    <row r="163" spans="1:14" x14ac:dyDescent="0.25">
      <c r="A163" s="63"/>
      <c r="B163" s="63"/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  <c r="N163" s="63"/>
    </row>
    <row r="164" spans="1:14" x14ac:dyDescent="0.25">
      <c r="A164" s="63"/>
      <c r="B164" s="63"/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  <c r="N164" s="63"/>
    </row>
    <row r="165" spans="1:14" x14ac:dyDescent="0.25">
      <c r="A165" s="63"/>
      <c r="B165" s="63"/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  <c r="N165" s="63"/>
    </row>
    <row r="166" spans="1:14" x14ac:dyDescent="0.25">
      <c r="A166" s="63"/>
      <c r="B166" s="63"/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/>
    </row>
    <row r="167" spans="1:14" x14ac:dyDescent="0.25">
      <c r="A167" s="63"/>
      <c r="B167" s="63"/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3"/>
      <c r="N167" s="63"/>
    </row>
    <row r="168" spans="1:14" x14ac:dyDescent="0.25">
      <c r="A168" s="63"/>
      <c r="B168" s="63"/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3"/>
      <c r="N168" s="63"/>
    </row>
    <row r="169" spans="1:14" x14ac:dyDescent="0.25">
      <c r="A169" s="63"/>
      <c r="B169" s="63"/>
      <c r="C169" s="63"/>
      <c r="D169" s="63"/>
      <c r="E169" s="63"/>
      <c r="F169" s="63"/>
      <c r="G169" s="63"/>
      <c r="H169" s="63"/>
      <c r="I169" s="63"/>
      <c r="J169" s="63"/>
      <c r="K169" s="63"/>
      <c r="L169" s="63"/>
      <c r="M169" s="63"/>
      <c r="N169" s="63"/>
    </row>
    <row r="170" spans="1:14" x14ac:dyDescent="0.25">
      <c r="A170" s="63"/>
      <c r="B170" s="63"/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3"/>
      <c r="N170" s="63"/>
    </row>
    <row r="171" spans="1:14" x14ac:dyDescent="0.25">
      <c r="A171" s="63"/>
      <c r="B171" s="63"/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3"/>
      <c r="N171" s="63"/>
    </row>
    <row r="172" spans="1:14" x14ac:dyDescent="0.25">
      <c r="A172" s="63"/>
      <c r="B172" s="63"/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  <c r="N172" s="63"/>
    </row>
    <row r="173" spans="1:14" x14ac:dyDescent="0.25">
      <c r="A173" s="63"/>
      <c r="B173" s="63"/>
      <c r="C173" s="63"/>
      <c r="D173" s="63"/>
      <c r="E173" s="63"/>
      <c r="F173" s="63"/>
      <c r="G173" s="63"/>
      <c r="H173" s="63"/>
      <c r="I173" s="63"/>
      <c r="J173" s="63"/>
      <c r="K173" s="63"/>
      <c r="L173" s="63"/>
      <c r="M173" s="63"/>
      <c r="N173" s="63"/>
    </row>
    <row r="174" spans="1:14" x14ac:dyDescent="0.25">
      <c r="A174" s="63"/>
      <c r="B174" s="63"/>
      <c r="C174" s="63"/>
      <c r="D174" s="63"/>
      <c r="E174" s="63"/>
      <c r="F174" s="63"/>
      <c r="G174" s="63"/>
      <c r="H174" s="63"/>
      <c r="I174" s="63"/>
      <c r="J174" s="63"/>
      <c r="K174" s="63"/>
      <c r="L174" s="63"/>
      <c r="M174" s="63"/>
      <c r="N174" s="63"/>
    </row>
    <row r="175" spans="1:14" x14ac:dyDescent="0.25">
      <c r="A175" s="63"/>
      <c r="B175" s="63"/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  <c r="N175" s="63"/>
    </row>
    <row r="176" spans="1:14" x14ac:dyDescent="0.25">
      <c r="A176" s="63"/>
      <c r="B176" s="63"/>
      <c r="C176" s="63"/>
      <c r="D176" s="63"/>
      <c r="E176" s="63"/>
      <c r="F176" s="63"/>
      <c r="G176" s="63"/>
      <c r="H176" s="63"/>
      <c r="I176" s="63"/>
      <c r="J176" s="63"/>
      <c r="K176" s="63"/>
      <c r="L176" s="63"/>
      <c r="M176" s="63"/>
      <c r="N176" s="63"/>
    </row>
    <row r="177" spans="1:14" x14ac:dyDescent="0.25">
      <c r="A177" s="63"/>
      <c r="B177" s="63"/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  <c r="N177" s="63"/>
    </row>
    <row r="178" spans="1:14" x14ac:dyDescent="0.25">
      <c r="A178" s="63"/>
      <c r="B178" s="63"/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  <c r="N178" s="63"/>
    </row>
    <row r="179" spans="1:14" x14ac:dyDescent="0.25">
      <c r="A179" s="63"/>
      <c r="B179" s="63"/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  <c r="N179" s="63"/>
    </row>
    <row r="180" spans="1:14" x14ac:dyDescent="0.25">
      <c r="A180" s="63"/>
      <c r="B180" s="63"/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63"/>
      <c r="N180" s="63"/>
    </row>
    <row r="181" spans="1:14" x14ac:dyDescent="0.25">
      <c r="A181" s="63"/>
      <c r="B181" s="63"/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  <c r="N181" s="63"/>
    </row>
    <row r="182" spans="1:14" x14ac:dyDescent="0.25">
      <c r="A182" s="63"/>
      <c r="B182" s="63"/>
      <c r="C182" s="63"/>
      <c r="D182" s="63"/>
      <c r="E182" s="63"/>
      <c r="F182" s="63"/>
      <c r="G182" s="63"/>
      <c r="H182" s="63"/>
      <c r="I182" s="63"/>
      <c r="J182" s="63"/>
      <c r="K182" s="63"/>
      <c r="L182" s="63"/>
      <c r="M182" s="63"/>
      <c r="N182" s="63"/>
    </row>
    <row r="183" spans="1:14" x14ac:dyDescent="0.25">
      <c r="A183" s="63"/>
      <c r="B183" s="63"/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3"/>
      <c r="N183" s="63"/>
    </row>
    <row r="184" spans="1:14" x14ac:dyDescent="0.25">
      <c r="A184" s="63"/>
      <c r="B184" s="63"/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3"/>
      <c r="N184" s="63"/>
    </row>
    <row r="185" spans="1:14" x14ac:dyDescent="0.25">
      <c r="A185" s="63"/>
      <c r="B185" s="63"/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3"/>
      <c r="N185" s="63"/>
    </row>
    <row r="186" spans="1:14" x14ac:dyDescent="0.25">
      <c r="A186" s="63"/>
      <c r="B186" s="63"/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  <c r="N186" s="63"/>
    </row>
    <row r="187" spans="1:14" x14ac:dyDescent="0.25">
      <c r="A187" s="63"/>
      <c r="B187" s="63"/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  <c r="N187" s="63"/>
    </row>
    <row r="188" spans="1:14" x14ac:dyDescent="0.25">
      <c r="A188" s="63"/>
      <c r="B188" s="63"/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  <c r="N188" s="63"/>
    </row>
    <row r="189" spans="1:14" x14ac:dyDescent="0.25">
      <c r="A189" s="63"/>
      <c r="B189" s="63"/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  <c r="N189" s="63"/>
    </row>
    <row r="190" spans="1:14" x14ac:dyDescent="0.25">
      <c r="A190" s="63"/>
      <c r="B190" s="63"/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  <c r="N190" s="63"/>
    </row>
    <row r="191" spans="1:14" x14ac:dyDescent="0.25">
      <c r="A191" s="63"/>
      <c r="B191" s="63"/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  <c r="N191" s="63"/>
    </row>
    <row r="192" spans="1:14" x14ac:dyDescent="0.25">
      <c r="A192" s="63"/>
      <c r="B192" s="63"/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  <c r="N192" s="63"/>
    </row>
    <row r="193" spans="1:14" x14ac:dyDescent="0.25">
      <c r="A193" s="63"/>
      <c r="B193" s="63"/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  <c r="N193" s="63"/>
    </row>
    <row r="194" spans="1:14" x14ac:dyDescent="0.25">
      <c r="A194" s="63"/>
      <c r="B194" s="63"/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3"/>
      <c r="N194" s="63"/>
    </row>
    <row r="195" spans="1:14" x14ac:dyDescent="0.25">
      <c r="A195" s="63"/>
      <c r="B195" s="63"/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  <c r="N195" s="63"/>
    </row>
    <row r="196" spans="1:14" x14ac:dyDescent="0.25">
      <c r="A196" s="63"/>
      <c r="B196" s="63"/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  <c r="N196" s="63"/>
    </row>
    <row r="197" spans="1:14" x14ac:dyDescent="0.25">
      <c r="A197" s="63"/>
      <c r="B197" s="63"/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  <c r="N197" s="63"/>
    </row>
    <row r="198" spans="1:14" x14ac:dyDescent="0.25">
      <c r="A198" s="63"/>
      <c r="B198" s="63"/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3"/>
      <c r="N198" s="63"/>
    </row>
  </sheetData>
  <mergeCells count="1">
    <mergeCell ref="B2:H2"/>
  </mergeCells>
  <phoneticPr fontId="6" type="noConversion"/>
  <conditionalFormatting sqref="C63">
    <cfRule type="cellIs" dxfId="47" priority="23" operator="greaterThanOrEqual">
      <formula>0</formula>
    </cfRule>
    <cfRule type="cellIs" dxfId="46" priority="28" operator="lessThan">
      <formula>0</formula>
    </cfRule>
  </conditionalFormatting>
  <conditionalFormatting sqref="D71">
    <cfRule type="cellIs" dxfId="45" priority="21" operator="greaterThanOrEqual">
      <formula>0</formula>
    </cfRule>
    <cfRule type="cellIs" dxfId="44" priority="22" operator="lessThan">
      <formula>0</formula>
    </cfRule>
  </conditionalFormatting>
  <conditionalFormatting sqref="E79">
    <cfRule type="cellIs" dxfId="43" priority="19" operator="greaterThanOrEqual">
      <formula>0</formula>
    </cfRule>
    <cfRule type="cellIs" dxfId="42" priority="20" operator="lessThan">
      <formula>0</formula>
    </cfRule>
  </conditionalFormatting>
  <conditionalFormatting sqref="F87">
    <cfRule type="cellIs" dxfId="41" priority="17" operator="greaterThanOrEqual">
      <formula>0</formula>
    </cfRule>
    <cfRule type="cellIs" dxfId="40" priority="18" operator="lessThan">
      <formula>0</formula>
    </cfRule>
  </conditionalFormatting>
  <conditionalFormatting sqref="G95">
    <cfRule type="cellIs" dxfId="39" priority="15" operator="greaterThanOrEqual">
      <formula>0</formula>
    </cfRule>
    <cfRule type="cellIs" dxfId="38" priority="16" operator="lessThan">
      <formula>0</formula>
    </cfRule>
  </conditionalFormatting>
  <conditionalFormatting sqref="H103">
    <cfRule type="cellIs" dxfId="37" priority="13" operator="greaterThanOrEqual">
      <formula>0</formula>
    </cfRule>
    <cfRule type="cellIs" dxfId="36" priority="14" operator="lessThan">
      <formula>0</formula>
    </cfRule>
  </conditionalFormatting>
  <conditionalFormatting sqref="I111">
    <cfRule type="cellIs" dxfId="35" priority="11" operator="greaterThanOrEqual">
      <formula>0</formula>
    </cfRule>
    <cfRule type="cellIs" dxfId="34" priority="12" operator="lessThan">
      <formula>0</formula>
    </cfRule>
  </conditionalFormatting>
  <conditionalFormatting sqref="J119">
    <cfRule type="cellIs" dxfId="33" priority="9" operator="greaterThanOrEqual">
      <formula>0</formula>
    </cfRule>
    <cfRule type="cellIs" dxfId="32" priority="10" operator="lessThan">
      <formula>0</formula>
    </cfRule>
  </conditionalFormatting>
  <conditionalFormatting sqref="K127">
    <cfRule type="cellIs" dxfId="31" priority="7" operator="greaterThanOrEqual">
      <formula>0</formula>
    </cfRule>
    <cfRule type="cellIs" dxfId="30" priority="8" operator="lessThan">
      <formula>0</formula>
    </cfRule>
  </conditionalFormatting>
  <conditionalFormatting sqref="L135">
    <cfRule type="cellIs" dxfId="29" priority="5" operator="greaterThanOrEqual">
      <formula>0</formula>
    </cfRule>
    <cfRule type="cellIs" dxfId="28" priority="6" operator="lessThan">
      <formula>0</formula>
    </cfRule>
  </conditionalFormatting>
  <conditionalFormatting sqref="M143">
    <cfRule type="cellIs" dxfId="27" priority="3" operator="greaterThanOrEqual">
      <formula>0</formula>
    </cfRule>
    <cfRule type="cellIs" dxfId="26" priority="4" operator="lessThan">
      <formula>0</formula>
    </cfRule>
  </conditionalFormatting>
  <conditionalFormatting sqref="N151">
    <cfRule type="cellIs" dxfId="25" priority="1" operator="greaterThanOrEqual">
      <formula>0</formula>
    </cfRule>
    <cfRule type="cellIs" dxfId="24" priority="2" operator="lessThan">
      <formula>0</formula>
    </cfRule>
  </conditionalFormatting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8F63F-F8A4-4CFC-B262-E5347B1FAF92}">
  <dimension ref="B3:J115"/>
  <sheetViews>
    <sheetView topLeftCell="A54" workbookViewId="0">
      <selection activeCell="B85" sqref="B85:B89"/>
    </sheetView>
  </sheetViews>
  <sheetFormatPr baseColWidth="10" defaultRowHeight="15" x14ac:dyDescent="0.25"/>
  <cols>
    <col min="2" max="2" width="6.5703125" bestFit="1" customWidth="1"/>
    <col min="3" max="3" width="40.28515625" bestFit="1" customWidth="1"/>
    <col min="4" max="4" width="14.85546875" bestFit="1" customWidth="1"/>
    <col min="5" max="7" width="15.28515625" bestFit="1" customWidth="1"/>
    <col min="8" max="8" width="12.85546875" bestFit="1" customWidth="1"/>
  </cols>
  <sheetData>
    <row r="3" spans="2:10" x14ac:dyDescent="0.25">
      <c r="B3" s="86" t="s">
        <v>116</v>
      </c>
      <c r="C3" s="86" t="s">
        <v>83</v>
      </c>
      <c r="D3" s="87" t="s">
        <v>84</v>
      </c>
      <c r="E3" s="94">
        <v>43837</v>
      </c>
    </row>
    <row r="4" spans="2:10" x14ac:dyDescent="0.25">
      <c r="B4" s="82">
        <v>588</v>
      </c>
      <c r="C4" s="66" t="s">
        <v>95</v>
      </c>
      <c r="D4" s="84">
        <v>1093.68</v>
      </c>
    </row>
    <row r="5" spans="2:10" x14ac:dyDescent="0.25">
      <c r="B5" s="82">
        <v>0</v>
      </c>
      <c r="C5" s="66" t="s">
        <v>101</v>
      </c>
      <c r="D5" s="84">
        <v>0</v>
      </c>
    </row>
    <row r="6" spans="2:10" x14ac:dyDescent="0.25">
      <c r="B6" s="82">
        <v>588</v>
      </c>
      <c r="C6" s="66" t="s">
        <v>96</v>
      </c>
      <c r="D6" s="84">
        <v>258.72000000000003</v>
      </c>
    </row>
    <row r="7" spans="2:10" x14ac:dyDescent="0.25">
      <c r="B7" s="82">
        <v>400</v>
      </c>
      <c r="C7" s="66" t="s">
        <v>97</v>
      </c>
      <c r="D7" s="84">
        <v>528</v>
      </c>
    </row>
    <row r="8" spans="2:10" x14ac:dyDescent="0.25">
      <c r="B8" s="83">
        <v>3019</v>
      </c>
      <c r="C8" s="67" t="s">
        <v>4</v>
      </c>
      <c r="D8" s="85">
        <v>1816.2304000000001</v>
      </c>
    </row>
    <row r="9" spans="2:10" x14ac:dyDescent="0.25">
      <c r="B9" s="147" t="s">
        <v>102</v>
      </c>
      <c r="C9" s="148"/>
      <c r="D9" s="88">
        <v>3696.6304</v>
      </c>
      <c r="E9" s="59" t="s">
        <v>123</v>
      </c>
    </row>
    <row r="10" spans="2:10" x14ac:dyDescent="0.25">
      <c r="B10" s="149" t="s">
        <v>117</v>
      </c>
      <c r="C10" s="150"/>
      <c r="D10" s="89">
        <v>-1651.9973333333332</v>
      </c>
      <c r="E10" s="9" t="s">
        <v>122</v>
      </c>
    </row>
    <row r="12" spans="2:10" x14ac:dyDescent="0.25">
      <c r="B12" s="86" t="s">
        <v>116</v>
      </c>
      <c r="C12" s="86" t="s">
        <v>83</v>
      </c>
      <c r="D12" s="87" t="s">
        <v>85</v>
      </c>
      <c r="E12" s="94">
        <v>43871</v>
      </c>
      <c r="F12" s="94">
        <v>43871</v>
      </c>
      <c r="G12" s="94">
        <v>43874</v>
      </c>
      <c r="I12" s="96" t="s">
        <v>125</v>
      </c>
      <c r="J12" s="95"/>
    </row>
    <row r="13" spans="2:10" x14ac:dyDescent="0.25">
      <c r="B13" s="82">
        <v>0</v>
      </c>
      <c r="C13" s="66" t="s">
        <v>95</v>
      </c>
      <c r="D13" s="84">
        <v>0</v>
      </c>
      <c r="E13" s="88">
        <v>1595.15</v>
      </c>
      <c r="F13" s="88">
        <v>625</v>
      </c>
      <c r="G13" s="88">
        <v>317.04000000000002</v>
      </c>
      <c r="H13" s="88">
        <f>E13+F13+G13</f>
        <v>2537.19</v>
      </c>
      <c r="I13" s="97">
        <f>D18-H13</f>
        <v>-19.55639999999994</v>
      </c>
    </row>
    <row r="14" spans="2:10" x14ac:dyDescent="0.25">
      <c r="B14" s="82">
        <v>2500</v>
      </c>
      <c r="C14" s="66" t="s">
        <v>101</v>
      </c>
      <c r="D14" s="84">
        <v>625</v>
      </c>
    </row>
    <row r="15" spans="2:10" x14ac:dyDescent="0.25">
      <c r="B15" s="82">
        <v>0</v>
      </c>
      <c r="C15" s="66" t="s">
        <v>96</v>
      </c>
      <c r="D15" s="84">
        <v>0</v>
      </c>
    </row>
    <row r="16" spans="2:10" x14ac:dyDescent="0.25">
      <c r="B16" s="82">
        <v>0</v>
      </c>
      <c r="C16" s="66" t="s">
        <v>97</v>
      </c>
      <c r="D16" s="84">
        <v>0</v>
      </c>
    </row>
    <row r="17" spans="2:7" x14ac:dyDescent="0.25">
      <c r="B17" s="83">
        <v>3146</v>
      </c>
      <c r="C17" s="67" t="s">
        <v>4</v>
      </c>
      <c r="D17" s="85">
        <v>1892.6336000000001</v>
      </c>
      <c r="E17" s="59" t="s">
        <v>123</v>
      </c>
      <c r="F17" s="59" t="s">
        <v>123</v>
      </c>
      <c r="G17" s="59" t="s">
        <v>123</v>
      </c>
    </row>
    <row r="18" spans="2:7" x14ac:dyDescent="0.25">
      <c r="B18" s="147" t="s">
        <v>103</v>
      </c>
      <c r="C18" s="148"/>
      <c r="D18" s="88">
        <v>2517.6336000000001</v>
      </c>
      <c r="E18" s="9" t="s">
        <v>124</v>
      </c>
      <c r="F18" s="9" t="s">
        <v>124</v>
      </c>
      <c r="G18" s="9" t="s">
        <v>124</v>
      </c>
    </row>
    <row r="19" spans="2:7" x14ac:dyDescent="0.25">
      <c r="B19" s="149" t="s">
        <v>118</v>
      </c>
      <c r="C19" s="150"/>
      <c r="D19" s="89">
        <v>-960.4970666666668</v>
      </c>
    </row>
    <row r="21" spans="2:7" x14ac:dyDescent="0.25">
      <c r="B21" s="86" t="s">
        <v>116</v>
      </c>
      <c r="C21" s="86" t="s">
        <v>83</v>
      </c>
      <c r="D21" s="87" t="s">
        <v>86</v>
      </c>
      <c r="E21" s="94">
        <v>43927</v>
      </c>
    </row>
    <row r="22" spans="2:7" x14ac:dyDescent="0.25">
      <c r="B22" s="82">
        <v>0</v>
      </c>
      <c r="C22" s="66" t="s">
        <v>95</v>
      </c>
      <c r="D22" s="84">
        <v>0</v>
      </c>
    </row>
    <row r="23" spans="2:7" x14ac:dyDescent="0.25">
      <c r="B23" s="82">
        <v>0</v>
      </c>
      <c r="C23" s="66" t="s">
        <v>101</v>
      </c>
      <c r="D23" s="84">
        <v>0</v>
      </c>
    </row>
    <row r="24" spans="2:7" x14ac:dyDescent="0.25">
      <c r="B24" s="82">
        <v>0</v>
      </c>
      <c r="C24" s="66" t="s">
        <v>96</v>
      </c>
      <c r="D24" s="84">
        <v>0</v>
      </c>
    </row>
    <row r="25" spans="2:7" x14ac:dyDescent="0.25">
      <c r="B25" s="82">
        <v>800</v>
      </c>
      <c r="C25" s="66" t="s">
        <v>97</v>
      </c>
      <c r="D25" s="84">
        <v>1056</v>
      </c>
    </row>
    <row r="26" spans="2:7" x14ac:dyDescent="0.25">
      <c r="B26" s="83">
        <v>2346</v>
      </c>
      <c r="C26" s="67" t="s">
        <v>4</v>
      </c>
      <c r="D26" s="85">
        <v>1411.3536000000001</v>
      </c>
      <c r="E26" s="59" t="s">
        <v>126</v>
      </c>
    </row>
    <row r="27" spans="2:7" x14ac:dyDescent="0.25">
      <c r="B27" s="147" t="s">
        <v>104</v>
      </c>
      <c r="C27" s="148"/>
      <c r="D27" s="88">
        <v>2467.3536000000004</v>
      </c>
      <c r="E27" s="9" t="s">
        <v>124</v>
      </c>
    </row>
    <row r="28" spans="2:7" x14ac:dyDescent="0.25">
      <c r="B28" s="149" t="s">
        <v>118</v>
      </c>
      <c r="C28" s="150"/>
      <c r="D28" s="89">
        <v>-470.71360000000027</v>
      </c>
    </row>
    <row r="30" spans="2:7" x14ac:dyDescent="0.25">
      <c r="B30" s="86" t="s">
        <v>116</v>
      </c>
      <c r="C30" s="86" t="s">
        <v>83</v>
      </c>
      <c r="D30" s="87" t="s">
        <v>87</v>
      </c>
    </row>
    <row r="31" spans="2:7" x14ac:dyDescent="0.25">
      <c r="B31" s="82">
        <v>0</v>
      </c>
      <c r="C31" s="66" t="s">
        <v>95</v>
      </c>
      <c r="D31" s="84">
        <v>0</v>
      </c>
    </row>
    <row r="32" spans="2:7" x14ac:dyDescent="0.25">
      <c r="B32" s="82">
        <v>0</v>
      </c>
      <c r="C32" s="66" t="s">
        <v>101</v>
      </c>
      <c r="D32" s="84">
        <v>0</v>
      </c>
    </row>
    <row r="33" spans="2:6" x14ac:dyDescent="0.25">
      <c r="B33" s="82">
        <v>0</v>
      </c>
      <c r="C33" s="66" t="s">
        <v>96</v>
      </c>
      <c r="D33" s="84">
        <v>0</v>
      </c>
    </row>
    <row r="34" spans="2:6" x14ac:dyDescent="0.25">
      <c r="B34" s="82">
        <v>400</v>
      </c>
      <c r="C34" s="66" t="s">
        <v>97</v>
      </c>
      <c r="D34" s="84">
        <v>528</v>
      </c>
    </row>
    <row r="35" spans="2:6" x14ac:dyDescent="0.25">
      <c r="B35" s="83">
        <v>1946</v>
      </c>
      <c r="C35" s="67" t="s">
        <v>4</v>
      </c>
      <c r="D35" s="85">
        <v>1170.7136</v>
      </c>
    </row>
    <row r="36" spans="2:6" x14ac:dyDescent="0.25">
      <c r="B36" s="147" t="s">
        <v>105</v>
      </c>
      <c r="C36" s="148"/>
      <c r="D36" s="88">
        <v>1698.7136</v>
      </c>
    </row>
    <row r="37" spans="2:6" x14ac:dyDescent="0.25">
      <c r="B37" s="149" t="s">
        <v>118</v>
      </c>
      <c r="C37" s="150"/>
      <c r="D37" s="89">
        <v>-82.073599999999942</v>
      </c>
    </row>
    <row r="39" spans="2:6" x14ac:dyDescent="0.25">
      <c r="B39" s="86" t="s">
        <v>116</v>
      </c>
      <c r="C39" s="86" t="s">
        <v>83</v>
      </c>
      <c r="D39" s="87" t="s">
        <v>88</v>
      </c>
    </row>
    <row r="40" spans="2:6" x14ac:dyDescent="0.25">
      <c r="B40" s="82">
        <v>527</v>
      </c>
      <c r="C40" s="66" t="s">
        <v>95</v>
      </c>
      <c r="D40" s="84">
        <v>980.22</v>
      </c>
    </row>
    <row r="41" spans="2:6" x14ac:dyDescent="0.25">
      <c r="B41" s="82">
        <v>0</v>
      </c>
      <c r="C41" s="66" t="s">
        <v>101</v>
      </c>
      <c r="D41" s="84">
        <v>0</v>
      </c>
    </row>
    <row r="42" spans="2:6" x14ac:dyDescent="0.25">
      <c r="B42" s="82">
        <v>527</v>
      </c>
      <c r="C42" s="66" t="s">
        <v>96</v>
      </c>
      <c r="D42" s="84">
        <v>231.88</v>
      </c>
    </row>
    <row r="43" spans="2:6" x14ac:dyDescent="0.25">
      <c r="B43" s="82">
        <v>0</v>
      </c>
      <c r="C43" s="66" t="s">
        <v>97</v>
      </c>
      <c r="D43" s="84">
        <v>0</v>
      </c>
    </row>
    <row r="44" spans="2:6" x14ac:dyDescent="0.25">
      <c r="B44" s="83">
        <v>1946</v>
      </c>
      <c r="C44" s="67" t="s">
        <v>4</v>
      </c>
      <c r="D44" s="85">
        <v>1170.7136</v>
      </c>
      <c r="E44" s="110">
        <v>0.12</v>
      </c>
    </row>
    <row r="45" spans="2:6" x14ac:dyDescent="0.25">
      <c r="B45" s="147" t="s">
        <v>106</v>
      </c>
      <c r="C45" s="148"/>
      <c r="D45" s="88">
        <v>2382.8136</v>
      </c>
      <c r="E45" s="1">
        <f>D45*E44</f>
        <v>285.93763200000001</v>
      </c>
      <c r="F45" s="1">
        <f>D45+E45</f>
        <v>2668.7512320000001</v>
      </c>
    </row>
    <row r="46" spans="2:6" x14ac:dyDescent="0.25">
      <c r="B46" s="149" t="s">
        <v>118</v>
      </c>
      <c r="C46" s="150"/>
      <c r="D46" s="89">
        <v>-525.53359999999998</v>
      </c>
    </row>
    <row r="48" spans="2:6" x14ac:dyDescent="0.25">
      <c r="B48" s="86" t="s">
        <v>116</v>
      </c>
      <c r="C48" s="86" t="s">
        <v>83</v>
      </c>
      <c r="D48" s="87" t="s">
        <v>89</v>
      </c>
    </row>
    <row r="49" spans="2:4" x14ac:dyDescent="0.25">
      <c r="B49" s="82">
        <v>0</v>
      </c>
      <c r="C49" s="66" t="s">
        <v>95</v>
      </c>
      <c r="D49" s="84">
        <v>0</v>
      </c>
    </row>
    <row r="50" spans="2:4" x14ac:dyDescent="0.25">
      <c r="B50" s="82">
        <v>2500</v>
      </c>
      <c r="C50" s="66" t="s">
        <v>101</v>
      </c>
      <c r="D50" s="84">
        <v>625</v>
      </c>
    </row>
    <row r="51" spans="2:4" x14ac:dyDescent="0.25">
      <c r="B51" s="82">
        <v>0</v>
      </c>
      <c r="C51" s="66" t="s">
        <v>96</v>
      </c>
      <c r="D51" s="84">
        <v>0</v>
      </c>
    </row>
    <row r="52" spans="2:4" x14ac:dyDescent="0.25">
      <c r="B52" s="82">
        <v>400</v>
      </c>
      <c r="C52" s="66" t="s">
        <v>97</v>
      </c>
      <c r="D52" s="84">
        <v>528</v>
      </c>
    </row>
    <row r="53" spans="2:4" x14ac:dyDescent="0.25">
      <c r="B53" s="83">
        <v>1946</v>
      </c>
      <c r="C53" s="67" t="s">
        <v>4</v>
      </c>
      <c r="D53" s="85">
        <v>1170.7136</v>
      </c>
    </row>
    <row r="54" spans="2:4" x14ac:dyDescent="0.25">
      <c r="B54" s="147" t="s">
        <v>107</v>
      </c>
      <c r="C54" s="148"/>
      <c r="D54" s="88">
        <v>2323.7136</v>
      </c>
    </row>
    <row r="55" spans="2:4" x14ac:dyDescent="0.25">
      <c r="B55" s="149" t="s">
        <v>118</v>
      </c>
      <c r="C55" s="150"/>
      <c r="D55" s="89">
        <v>-225.79359999999997</v>
      </c>
    </row>
    <row r="57" spans="2:4" x14ac:dyDescent="0.25">
      <c r="B57" s="86" t="s">
        <v>116</v>
      </c>
      <c r="C57" s="86" t="s">
        <v>83</v>
      </c>
      <c r="D57" s="87" t="s">
        <v>90</v>
      </c>
    </row>
    <row r="58" spans="2:4" x14ac:dyDescent="0.25">
      <c r="B58" s="82">
        <v>300</v>
      </c>
      <c r="C58" s="66" t="s">
        <v>95</v>
      </c>
      <c r="D58" s="84">
        <v>558</v>
      </c>
    </row>
    <row r="59" spans="2:4" x14ac:dyDescent="0.25">
      <c r="B59" s="82">
        <v>0</v>
      </c>
      <c r="C59" s="66" t="s">
        <v>101</v>
      </c>
      <c r="D59" s="84">
        <v>0</v>
      </c>
    </row>
    <row r="60" spans="2:4" x14ac:dyDescent="0.25">
      <c r="B60" s="82">
        <v>300</v>
      </c>
      <c r="C60" s="66" t="s">
        <v>96</v>
      </c>
      <c r="D60" s="84">
        <v>132</v>
      </c>
    </row>
    <row r="61" spans="2:4" x14ac:dyDescent="0.25">
      <c r="B61" s="82">
        <v>400</v>
      </c>
      <c r="C61" s="66" t="s">
        <v>97</v>
      </c>
      <c r="D61" s="84">
        <v>528</v>
      </c>
    </row>
    <row r="62" spans="2:4" x14ac:dyDescent="0.25">
      <c r="B62" s="83">
        <v>1846</v>
      </c>
      <c r="C62" s="67" t="s">
        <v>4</v>
      </c>
      <c r="D62" s="85">
        <v>1110.5536</v>
      </c>
    </row>
    <row r="63" spans="2:4" x14ac:dyDescent="0.25">
      <c r="B63" s="147" t="s">
        <v>110</v>
      </c>
      <c r="C63" s="148"/>
      <c r="D63" s="88">
        <v>2328.5536000000002</v>
      </c>
    </row>
    <row r="64" spans="2:4" x14ac:dyDescent="0.25">
      <c r="B64" s="149" t="s">
        <v>118</v>
      </c>
      <c r="C64" s="150"/>
      <c r="D64" s="89">
        <v>-230.63360000000011</v>
      </c>
    </row>
    <row r="66" spans="2:4" x14ac:dyDescent="0.25">
      <c r="B66" s="86" t="s">
        <v>116</v>
      </c>
      <c r="C66" s="86" t="s">
        <v>83</v>
      </c>
      <c r="D66" s="87" t="s">
        <v>120</v>
      </c>
    </row>
    <row r="67" spans="2:4" x14ac:dyDescent="0.25">
      <c r="B67" s="82">
        <v>0</v>
      </c>
      <c r="C67" s="66" t="s">
        <v>95</v>
      </c>
      <c r="D67" s="84">
        <v>0</v>
      </c>
    </row>
    <row r="68" spans="2:4" x14ac:dyDescent="0.25">
      <c r="B68" s="82">
        <v>2500</v>
      </c>
      <c r="C68" s="66" t="s">
        <v>101</v>
      </c>
      <c r="D68" s="84">
        <v>625</v>
      </c>
    </row>
    <row r="69" spans="2:4" x14ac:dyDescent="0.25">
      <c r="B69" s="82">
        <v>0</v>
      </c>
      <c r="C69" s="66" t="s">
        <v>96</v>
      </c>
      <c r="D69" s="84">
        <v>0</v>
      </c>
    </row>
    <row r="70" spans="2:4" x14ac:dyDescent="0.25">
      <c r="B70" s="82">
        <v>0</v>
      </c>
      <c r="C70" s="66" t="s">
        <v>97</v>
      </c>
      <c r="D70" s="84">
        <v>0</v>
      </c>
    </row>
    <row r="71" spans="2:4" x14ac:dyDescent="0.25">
      <c r="B71" s="83">
        <v>1846</v>
      </c>
      <c r="C71" s="67" t="s">
        <v>4</v>
      </c>
      <c r="D71" s="85">
        <v>1110.5536</v>
      </c>
    </row>
    <row r="72" spans="2:4" x14ac:dyDescent="0.25">
      <c r="B72" s="147" t="s">
        <v>108</v>
      </c>
      <c r="C72" s="148"/>
      <c r="D72" s="88">
        <v>1735.5536</v>
      </c>
    </row>
    <row r="73" spans="2:4" x14ac:dyDescent="0.25">
      <c r="B73" s="149" t="s">
        <v>118</v>
      </c>
      <c r="C73" s="150"/>
      <c r="D73" s="89">
        <v>362.36640000000011</v>
      </c>
    </row>
    <row r="75" spans="2:4" x14ac:dyDescent="0.25">
      <c r="B75" s="86" t="s">
        <v>116</v>
      </c>
      <c r="C75" s="86" t="s">
        <v>83</v>
      </c>
      <c r="D75" s="87" t="s">
        <v>91</v>
      </c>
    </row>
    <row r="76" spans="2:4" x14ac:dyDescent="0.25">
      <c r="B76" s="82">
        <v>0</v>
      </c>
      <c r="C76" s="66" t="s">
        <v>95</v>
      </c>
      <c r="D76" s="84">
        <v>0</v>
      </c>
    </row>
    <row r="77" spans="2:4" x14ac:dyDescent="0.25">
      <c r="B77" s="82">
        <v>2500</v>
      </c>
      <c r="C77" s="66" t="s">
        <v>101</v>
      </c>
      <c r="D77" s="84">
        <v>625</v>
      </c>
    </row>
    <row r="78" spans="2:4" x14ac:dyDescent="0.25">
      <c r="B78" s="82">
        <v>0</v>
      </c>
      <c r="C78" s="66" t="s">
        <v>96</v>
      </c>
      <c r="D78" s="84">
        <v>0</v>
      </c>
    </row>
    <row r="79" spans="2:4" x14ac:dyDescent="0.25">
      <c r="B79" s="82">
        <v>0</v>
      </c>
      <c r="C79" s="66" t="s">
        <v>97</v>
      </c>
      <c r="D79" s="84">
        <v>0</v>
      </c>
    </row>
    <row r="80" spans="2:4" x14ac:dyDescent="0.25">
      <c r="B80" s="83">
        <v>1846</v>
      </c>
      <c r="C80" s="67" t="s">
        <v>4</v>
      </c>
      <c r="D80" s="85">
        <v>1110.5536</v>
      </c>
    </row>
    <row r="81" spans="2:4" x14ac:dyDescent="0.25">
      <c r="B81" s="147" t="s">
        <v>109</v>
      </c>
      <c r="C81" s="148"/>
      <c r="D81" s="88">
        <v>1735.5536</v>
      </c>
    </row>
    <row r="82" spans="2:4" x14ac:dyDescent="0.25">
      <c r="B82" s="149" t="s">
        <v>118</v>
      </c>
      <c r="C82" s="150"/>
      <c r="D82" s="89">
        <v>362.36640000000011</v>
      </c>
    </row>
    <row r="84" spans="2:4" x14ac:dyDescent="0.25">
      <c r="B84" s="86" t="s">
        <v>116</v>
      </c>
      <c r="C84" s="86" t="s">
        <v>83</v>
      </c>
      <c r="D84" s="87" t="s">
        <v>92</v>
      </c>
    </row>
    <row r="85" spans="2:4" x14ac:dyDescent="0.25">
      <c r="B85" s="82">
        <v>0</v>
      </c>
      <c r="C85" s="66" t="s">
        <v>95</v>
      </c>
      <c r="D85" s="84">
        <v>0</v>
      </c>
    </row>
    <row r="86" spans="2:4" x14ac:dyDescent="0.25">
      <c r="B86" s="82">
        <v>0</v>
      </c>
      <c r="C86" s="66" t="s">
        <v>101</v>
      </c>
      <c r="D86" s="84">
        <v>0</v>
      </c>
    </row>
    <row r="87" spans="2:4" x14ac:dyDescent="0.25">
      <c r="B87" s="82">
        <v>0</v>
      </c>
      <c r="C87" s="66" t="s">
        <v>96</v>
      </c>
      <c r="D87" s="84">
        <v>0</v>
      </c>
    </row>
    <row r="88" spans="2:4" x14ac:dyDescent="0.25">
      <c r="B88" s="82">
        <v>0</v>
      </c>
      <c r="C88" s="66" t="s">
        <v>97</v>
      </c>
      <c r="D88" s="84">
        <v>0</v>
      </c>
    </row>
    <row r="89" spans="2:4" x14ac:dyDescent="0.25">
      <c r="B89" s="83">
        <v>1846</v>
      </c>
      <c r="C89" s="67" t="s">
        <v>4</v>
      </c>
      <c r="D89" s="85">
        <v>1110.5536</v>
      </c>
    </row>
    <row r="90" spans="2:4" x14ac:dyDescent="0.25">
      <c r="B90" s="147" t="s">
        <v>111</v>
      </c>
      <c r="C90" s="148"/>
      <c r="D90" s="88">
        <v>1110.5536</v>
      </c>
    </row>
    <row r="91" spans="2:4" x14ac:dyDescent="0.25">
      <c r="B91" s="149" t="s">
        <v>118</v>
      </c>
      <c r="C91" s="150"/>
      <c r="D91" s="89">
        <v>987.36640000000011</v>
      </c>
    </row>
    <row r="93" spans="2:4" x14ac:dyDescent="0.25">
      <c r="B93" s="86" t="s">
        <v>116</v>
      </c>
      <c r="C93" s="86" t="s">
        <v>83</v>
      </c>
      <c r="D93" s="87" t="s">
        <v>93</v>
      </c>
    </row>
    <row r="94" spans="2:4" x14ac:dyDescent="0.25">
      <c r="B94" s="82">
        <v>0</v>
      </c>
      <c r="C94" s="66" t="s">
        <v>95</v>
      </c>
      <c r="D94" s="84">
        <v>0</v>
      </c>
    </row>
    <row r="95" spans="2:4" x14ac:dyDescent="0.25">
      <c r="B95" s="82">
        <v>0</v>
      </c>
      <c r="C95" s="66" t="s">
        <v>101</v>
      </c>
      <c r="D95" s="84">
        <v>0</v>
      </c>
    </row>
    <row r="96" spans="2:4" x14ac:dyDescent="0.25">
      <c r="B96" s="82">
        <v>0</v>
      </c>
      <c r="C96" s="66" t="s">
        <v>96</v>
      </c>
      <c r="D96" s="84">
        <v>0</v>
      </c>
    </row>
    <row r="97" spans="2:4" x14ac:dyDescent="0.25">
      <c r="B97" s="82">
        <v>0</v>
      </c>
      <c r="C97" s="66" t="s">
        <v>97</v>
      </c>
      <c r="D97" s="84">
        <v>0</v>
      </c>
    </row>
    <row r="98" spans="2:4" x14ac:dyDescent="0.25">
      <c r="B98" s="83">
        <v>1846</v>
      </c>
      <c r="C98" s="67" t="s">
        <v>4</v>
      </c>
      <c r="D98" s="85">
        <v>1110.5536</v>
      </c>
    </row>
    <row r="99" spans="2:4" x14ac:dyDescent="0.25">
      <c r="B99" s="147" t="s">
        <v>112</v>
      </c>
      <c r="C99" s="148"/>
      <c r="D99" s="88">
        <v>1110.5536</v>
      </c>
    </row>
    <row r="100" spans="2:4" x14ac:dyDescent="0.25">
      <c r="B100" s="149" t="s">
        <v>118</v>
      </c>
      <c r="C100" s="150"/>
      <c r="D100" s="89">
        <v>622.44640000000004</v>
      </c>
    </row>
    <row r="102" spans="2:4" x14ac:dyDescent="0.25">
      <c r="B102" s="86" t="s">
        <v>116</v>
      </c>
      <c r="C102" s="86" t="s">
        <v>83</v>
      </c>
      <c r="D102" s="87" t="s">
        <v>94</v>
      </c>
    </row>
    <row r="103" spans="2:4" x14ac:dyDescent="0.25">
      <c r="B103" s="82">
        <v>0</v>
      </c>
      <c r="C103" s="66" t="s">
        <v>95</v>
      </c>
      <c r="D103" s="84">
        <v>0</v>
      </c>
    </row>
    <row r="104" spans="2:4" x14ac:dyDescent="0.25">
      <c r="B104" s="82">
        <v>0</v>
      </c>
      <c r="C104" s="66" t="s">
        <v>101</v>
      </c>
      <c r="D104" s="84">
        <v>0</v>
      </c>
    </row>
    <row r="105" spans="2:4" x14ac:dyDescent="0.25">
      <c r="B105" s="82">
        <v>0</v>
      </c>
      <c r="C105" s="66" t="s">
        <v>96</v>
      </c>
      <c r="D105" s="84">
        <v>0</v>
      </c>
    </row>
    <row r="106" spans="2:4" x14ac:dyDescent="0.25">
      <c r="B106" s="82">
        <v>0</v>
      </c>
      <c r="C106" s="66" t="s">
        <v>97</v>
      </c>
      <c r="D106" s="84">
        <v>0</v>
      </c>
    </row>
    <row r="107" spans="2:4" x14ac:dyDescent="0.25">
      <c r="B107" s="83">
        <v>1846</v>
      </c>
      <c r="C107" s="67" t="s">
        <v>4</v>
      </c>
      <c r="D107" s="85">
        <v>1110.5536</v>
      </c>
    </row>
    <row r="108" spans="2:4" x14ac:dyDescent="0.25">
      <c r="B108" s="147" t="s">
        <v>113</v>
      </c>
      <c r="C108" s="148"/>
      <c r="D108" s="88">
        <v>1110.5536</v>
      </c>
    </row>
    <row r="109" spans="2:4" x14ac:dyDescent="0.25">
      <c r="B109" s="149" t="s">
        <v>118</v>
      </c>
      <c r="C109" s="150"/>
      <c r="D109" s="89">
        <v>622.44640000000004</v>
      </c>
    </row>
    <row r="112" spans="2:4" x14ac:dyDescent="0.25">
      <c r="B112" s="151" t="s">
        <v>114</v>
      </c>
      <c r="C112" s="151"/>
      <c r="D112" s="91">
        <f>D9+D18+D27+D36+D45+D54+D63+D72+D81+D90+D99+D108</f>
        <v>24218.179999999997</v>
      </c>
    </row>
    <row r="113" spans="2:4" x14ac:dyDescent="0.25">
      <c r="B113" s="145" t="s">
        <v>119</v>
      </c>
      <c r="C113" s="145"/>
      <c r="D113" s="93">
        <f>Flujo!O49</f>
        <v>22547.929600000003</v>
      </c>
    </row>
    <row r="114" spans="2:4" x14ac:dyDescent="0.25">
      <c r="C114" s="63"/>
      <c r="D114" s="63"/>
    </row>
    <row r="115" spans="2:4" x14ac:dyDescent="0.25">
      <c r="B115" s="146" t="s">
        <v>121</v>
      </c>
      <c r="C115" s="146"/>
      <c r="D115" s="92">
        <f>D113-D112</f>
        <v>-1670.2503999999935</v>
      </c>
    </row>
  </sheetData>
  <mergeCells count="27">
    <mergeCell ref="B36:C36"/>
    <mergeCell ref="B37:C37"/>
    <mergeCell ref="B45:C45"/>
    <mergeCell ref="B46:C46"/>
    <mergeCell ref="B9:C9"/>
    <mergeCell ref="B10:C10"/>
    <mergeCell ref="B18:C18"/>
    <mergeCell ref="B19:C19"/>
    <mergeCell ref="B27:C27"/>
    <mergeCell ref="B28:C28"/>
    <mergeCell ref="B54:C54"/>
    <mergeCell ref="B55:C55"/>
    <mergeCell ref="B63:C63"/>
    <mergeCell ref="B64:C64"/>
    <mergeCell ref="B72:C72"/>
    <mergeCell ref="B73:C73"/>
    <mergeCell ref="B81:C81"/>
    <mergeCell ref="B82:C82"/>
    <mergeCell ref="B90:C90"/>
    <mergeCell ref="B91:C91"/>
    <mergeCell ref="B113:C113"/>
    <mergeCell ref="B115:C115"/>
    <mergeCell ref="B99:C99"/>
    <mergeCell ref="B100:C100"/>
    <mergeCell ref="B108:C108"/>
    <mergeCell ref="B109:C109"/>
    <mergeCell ref="B112:C112"/>
  </mergeCells>
  <conditionalFormatting sqref="D10">
    <cfRule type="cellIs" dxfId="23" priority="23" operator="greaterThanOrEqual">
      <formula>0</formula>
    </cfRule>
    <cfRule type="cellIs" dxfId="22" priority="24" operator="lessThan">
      <formula>0</formula>
    </cfRule>
  </conditionalFormatting>
  <conditionalFormatting sqref="D19">
    <cfRule type="cellIs" dxfId="21" priority="21" operator="greaterThanOrEqual">
      <formula>0</formula>
    </cfRule>
    <cfRule type="cellIs" dxfId="20" priority="22" operator="lessThan">
      <formula>0</formula>
    </cfRule>
  </conditionalFormatting>
  <conditionalFormatting sqref="D28">
    <cfRule type="cellIs" dxfId="19" priority="19" operator="greaterThanOrEqual">
      <formula>0</formula>
    </cfRule>
    <cfRule type="cellIs" dxfId="18" priority="20" operator="lessThan">
      <formula>0</formula>
    </cfRule>
  </conditionalFormatting>
  <conditionalFormatting sqref="D37">
    <cfRule type="cellIs" dxfId="17" priority="17" operator="greaterThanOrEqual">
      <formula>0</formula>
    </cfRule>
    <cfRule type="cellIs" dxfId="16" priority="18" operator="lessThan">
      <formula>0</formula>
    </cfRule>
  </conditionalFormatting>
  <conditionalFormatting sqref="D46">
    <cfRule type="cellIs" dxfId="15" priority="15" operator="greaterThanOrEqual">
      <formula>0</formula>
    </cfRule>
    <cfRule type="cellIs" dxfId="14" priority="16" operator="lessThan">
      <formula>0</formula>
    </cfRule>
  </conditionalFormatting>
  <conditionalFormatting sqref="D55">
    <cfRule type="cellIs" dxfId="13" priority="13" operator="greaterThanOrEqual">
      <formula>0</formula>
    </cfRule>
    <cfRule type="cellIs" dxfId="12" priority="14" operator="lessThan">
      <formula>0</formula>
    </cfRule>
  </conditionalFormatting>
  <conditionalFormatting sqref="D64">
    <cfRule type="cellIs" dxfId="11" priority="11" operator="greaterThanOrEqual">
      <formula>0</formula>
    </cfRule>
    <cfRule type="cellIs" dxfId="10" priority="12" operator="lessThan">
      <formula>0</formula>
    </cfRule>
  </conditionalFormatting>
  <conditionalFormatting sqref="D73">
    <cfRule type="cellIs" dxfId="9" priority="9" operator="greaterThanOrEqual">
      <formula>0</formula>
    </cfRule>
    <cfRule type="cellIs" dxfId="8" priority="10" operator="lessThan">
      <formula>0</formula>
    </cfRule>
  </conditionalFormatting>
  <conditionalFormatting sqref="D82">
    <cfRule type="cellIs" dxfId="7" priority="7" operator="greaterThanOrEqual">
      <formula>0</formula>
    </cfRule>
    <cfRule type="cellIs" dxfId="6" priority="8" operator="lessThan">
      <formula>0</formula>
    </cfRule>
  </conditionalFormatting>
  <conditionalFormatting sqref="D91">
    <cfRule type="cellIs" dxfId="5" priority="5" operator="greaterThanOrEqual">
      <formula>0</formula>
    </cfRule>
    <cfRule type="cellIs" dxfId="4" priority="6" operator="lessThan">
      <formula>0</formula>
    </cfRule>
  </conditionalFormatting>
  <conditionalFormatting sqref="D100">
    <cfRule type="cellIs" dxfId="3" priority="3" operator="greaterThanOrEqual">
      <formula>0</formula>
    </cfRule>
    <cfRule type="cellIs" dxfId="2" priority="4" operator="lessThan">
      <formula>0</formula>
    </cfRule>
  </conditionalFormatting>
  <conditionalFormatting sqref="D109">
    <cfRule type="cellIs" dxfId="1" priority="1" operator="greaterThanOrEqual">
      <formula>0</formula>
    </cfRule>
    <cfRule type="cellIs" dxfId="0" priority="2" operator="lessThan">
      <formula>0</formula>
    </cfRule>
  </conditionalFormatting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29CD1-623F-4CB2-8D0F-DD12420CBAE8}">
  <dimension ref="A2:P53"/>
  <sheetViews>
    <sheetView tabSelected="1" topLeftCell="A33" workbookViewId="0">
      <selection activeCell="N50" sqref="N50"/>
    </sheetView>
  </sheetViews>
  <sheetFormatPr baseColWidth="10" defaultRowHeight="15" x14ac:dyDescent="0.25"/>
  <cols>
    <col min="1" max="1" width="9.7109375" bestFit="1" customWidth="1"/>
    <col min="2" max="2" width="22.28515625" bestFit="1" customWidth="1"/>
    <col min="3" max="3" width="8.7109375" customWidth="1"/>
    <col min="4" max="4" width="12.85546875" customWidth="1"/>
    <col min="5" max="5" width="8.7109375" customWidth="1"/>
    <col min="6" max="6" width="13.28515625" customWidth="1"/>
    <col min="7" max="7" width="8.7109375" customWidth="1"/>
    <col min="8" max="8" width="12.85546875" customWidth="1"/>
    <col min="9" max="9" width="8.7109375" customWidth="1"/>
    <col min="10" max="10" width="13.28515625" customWidth="1"/>
    <col min="11" max="11" width="8.7109375" customWidth="1"/>
    <col min="12" max="12" width="12.85546875" customWidth="1"/>
    <col min="13" max="13" width="8.7109375" customWidth="1"/>
    <col min="14" max="14" width="13.28515625" bestFit="1" customWidth="1"/>
  </cols>
  <sheetData>
    <row r="2" spans="1:14" x14ac:dyDescent="0.25">
      <c r="C2" s="152" t="s">
        <v>148</v>
      </c>
      <c r="D2" s="158"/>
      <c r="E2" s="158"/>
      <c r="F2" s="153"/>
      <c r="G2" s="152" t="s">
        <v>149</v>
      </c>
      <c r="H2" s="158"/>
      <c r="I2" s="158"/>
      <c r="J2" s="153"/>
      <c r="K2" s="152" t="s">
        <v>150</v>
      </c>
      <c r="L2" s="158"/>
      <c r="M2" s="158"/>
      <c r="N2" s="153"/>
    </row>
    <row r="3" spans="1:14" x14ac:dyDescent="0.25">
      <c r="A3" s="86" t="s">
        <v>142</v>
      </c>
      <c r="B3" s="86" t="s">
        <v>83</v>
      </c>
      <c r="C3" s="86" t="s">
        <v>116</v>
      </c>
      <c r="D3" s="119" t="s">
        <v>145</v>
      </c>
      <c r="E3" s="86" t="s">
        <v>116</v>
      </c>
      <c r="F3" s="128" t="s">
        <v>146</v>
      </c>
      <c r="G3" s="86" t="s">
        <v>116</v>
      </c>
      <c r="H3" s="119" t="s">
        <v>145</v>
      </c>
      <c r="I3" s="86" t="s">
        <v>116</v>
      </c>
      <c r="J3" s="128" t="s">
        <v>146</v>
      </c>
      <c r="K3" s="86" t="s">
        <v>116</v>
      </c>
      <c r="L3" s="119" t="s">
        <v>145</v>
      </c>
      <c r="M3" s="86" t="s">
        <v>116</v>
      </c>
      <c r="N3" s="128" t="s">
        <v>146</v>
      </c>
    </row>
    <row r="4" spans="1:14" x14ac:dyDescent="0.25">
      <c r="A4" s="111">
        <f>Flujo!$H$6</f>
        <v>1.86</v>
      </c>
      <c r="B4" s="116" t="s">
        <v>95</v>
      </c>
      <c r="C4" s="82">
        <v>0</v>
      </c>
      <c r="D4" s="120">
        <f t="shared" ref="D4:D10" si="0">C4*$A4</f>
        <v>0</v>
      </c>
      <c r="E4" s="82">
        <v>588</v>
      </c>
      <c r="F4" s="69">
        <f t="shared" ref="F4:F10" si="1">E4*$A4</f>
        <v>1093.68</v>
      </c>
      <c r="G4" s="82">
        <v>0</v>
      </c>
      <c r="H4" s="120">
        <f t="shared" ref="H4:H10" si="2">G4*$A4</f>
        <v>0</v>
      </c>
      <c r="I4" s="82">
        <v>0</v>
      </c>
      <c r="J4" s="69">
        <f t="shared" ref="J4:J10" si="3">I4*$A4</f>
        <v>0</v>
      </c>
      <c r="K4" s="82">
        <v>150</v>
      </c>
      <c r="L4" s="120">
        <f t="shared" ref="L4:L10" si="4">K4*$A4</f>
        <v>279</v>
      </c>
      <c r="M4" s="82">
        <v>0</v>
      </c>
      <c r="N4" s="69">
        <f t="shared" ref="N4:N10" si="5">M4*$A4</f>
        <v>0</v>
      </c>
    </row>
    <row r="5" spans="1:14" x14ac:dyDescent="0.25">
      <c r="A5" s="111">
        <f>Flujo!$C$16</f>
        <v>0.25</v>
      </c>
      <c r="B5" s="116" t="s">
        <v>101</v>
      </c>
      <c r="C5" s="82">
        <v>0</v>
      </c>
      <c r="D5" s="120">
        <f t="shared" si="0"/>
        <v>0</v>
      </c>
      <c r="E5" s="82">
        <v>0</v>
      </c>
      <c r="F5" s="69">
        <f t="shared" si="1"/>
        <v>0</v>
      </c>
      <c r="G5" s="82">
        <v>0</v>
      </c>
      <c r="H5" s="120">
        <f t="shared" si="2"/>
        <v>0</v>
      </c>
      <c r="I5" s="82">
        <v>2500</v>
      </c>
      <c r="J5" s="69">
        <f t="shared" si="3"/>
        <v>625</v>
      </c>
      <c r="K5" s="82">
        <v>1200</v>
      </c>
      <c r="L5" s="120">
        <f t="shared" si="4"/>
        <v>300</v>
      </c>
      <c r="M5" s="82">
        <v>0</v>
      </c>
      <c r="N5" s="69">
        <f t="shared" si="5"/>
        <v>0</v>
      </c>
    </row>
    <row r="6" spans="1:14" x14ac:dyDescent="0.25">
      <c r="A6" s="111">
        <f>'Ecuaquimica Destrucción'!$K$7</f>
        <v>0.44</v>
      </c>
      <c r="B6" s="116" t="s">
        <v>96</v>
      </c>
      <c r="C6" s="82">
        <v>0</v>
      </c>
      <c r="D6" s="120">
        <f t="shared" si="0"/>
        <v>0</v>
      </c>
      <c r="E6" s="82">
        <v>588</v>
      </c>
      <c r="F6" s="69">
        <f t="shared" si="1"/>
        <v>258.72000000000003</v>
      </c>
      <c r="G6" s="82">
        <v>0</v>
      </c>
      <c r="H6" s="120">
        <f t="shared" si="2"/>
        <v>0</v>
      </c>
      <c r="I6" s="82">
        <v>0</v>
      </c>
      <c r="J6" s="69">
        <f t="shared" si="3"/>
        <v>0</v>
      </c>
      <c r="K6" s="82">
        <v>0</v>
      </c>
      <c r="L6" s="120">
        <f t="shared" si="4"/>
        <v>0</v>
      </c>
      <c r="M6" s="82">
        <v>0</v>
      </c>
      <c r="N6" s="69">
        <f t="shared" si="5"/>
        <v>0</v>
      </c>
    </row>
    <row r="7" spans="1:14" x14ac:dyDescent="0.25">
      <c r="A7" s="111">
        <f>'Ecuaquimica Destrucción'!$K$8</f>
        <v>1.32</v>
      </c>
      <c r="B7" s="116" t="s">
        <v>147</v>
      </c>
      <c r="C7" s="82">
        <v>810</v>
      </c>
      <c r="D7" s="120">
        <f t="shared" si="0"/>
        <v>1069.2</v>
      </c>
      <c r="E7" s="82">
        <v>400</v>
      </c>
      <c r="F7" s="69">
        <f t="shared" si="1"/>
        <v>528</v>
      </c>
      <c r="G7" s="82">
        <v>810</v>
      </c>
      <c r="H7" s="120">
        <f t="shared" si="2"/>
        <v>1069.2</v>
      </c>
      <c r="I7" s="82">
        <v>0</v>
      </c>
      <c r="J7" s="69">
        <f t="shared" si="3"/>
        <v>0</v>
      </c>
      <c r="K7" s="82">
        <v>810</v>
      </c>
      <c r="L7" s="120">
        <f t="shared" si="4"/>
        <v>1069.2</v>
      </c>
      <c r="M7" s="82">
        <v>800</v>
      </c>
      <c r="N7" s="69">
        <f t="shared" si="5"/>
        <v>1056</v>
      </c>
    </row>
    <row r="8" spans="1:14" x14ac:dyDescent="0.25">
      <c r="A8" s="123">
        <f>Flujo!$C$14</f>
        <v>0.60160000000000002</v>
      </c>
      <c r="B8" s="116" t="s">
        <v>143</v>
      </c>
      <c r="C8" s="82">
        <f>Flujo!C11-'Facturación vs. Flujo'!C7</f>
        <v>1621</v>
      </c>
      <c r="D8" s="120">
        <f t="shared" si="0"/>
        <v>975.19360000000006</v>
      </c>
      <c r="E8" s="82">
        <v>3019</v>
      </c>
      <c r="F8" s="69">
        <f t="shared" si="1"/>
        <v>1816.2304000000001</v>
      </c>
      <c r="G8" s="118">
        <f>C8-G7</f>
        <v>811</v>
      </c>
      <c r="H8" s="120">
        <f t="shared" si="2"/>
        <v>487.89760000000001</v>
      </c>
      <c r="I8" s="82">
        <v>3146</v>
      </c>
      <c r="J8" s="69">
        <f t="shared" si="3"/>
        <v>1892.6336000000001</v>
      </c>
      <c r="K8" s="118">
        <v>0</v>
      </c>
      <c r="L8" s="120">
        <f t="shared" si="4"/>
        <v>0</v>
      </c>
      <c r="M8" s="82">
        <v>2346</v>
      </c>
      <c r="N8" s="69">
        <f t="shared" si="5"/>
        <v>1411.3536000000001</v>
      </c>
    </row>
    <row r="9" spans="1:14" x14ac:dyDescent="0.25">
      <c r="A9" s="111">
        <f>Flujo!$A$40</f>
        <v>1.92</v>
      </c>
      <c r="B9" s="116" t="s">
        <v>22</v>
      </c>
      <c r="C9" s="82">
        <v>0</v>
      </c>
      <c r="D9" s="120">
        <f t="shared" si="0"/>
        <v>0</v>
      </c>
      <c r="E9" s="82">
        <v>0</v>
      </c>
      <c r="F9" s="69">
        <f t="shared" si="1"/>
        <v>0</v>
      </c>
      <c r="G9" s="118">
        <v>0</v>
      </c>
      <c r="H9" s="120">
        <f t="shared" si="2"/>
        <v>0</v>
      </c>
      <c r="I9" s="82">
        <v>0</v>
      </c>
      <c r="J9" s="69">
        <f t="shared" si="3"/>
        <v>0</v>
      </c>
      <c r="K9" s="118">
        <v>150</v>
      </c>
      <c r="L9" s="120">
        <f t="shared" si="4"/>
        <v>288</v>
      </c>
      <c r="M9" s="82"/>
      <c r="N9" s="69">
        <f t="shared" si="5"/>
        <v>0</v>
      </c>
    </row>
    <row r="10" spans="1:14" x14ac:dyDescent="0.25">
      <c r="A10" s="112">
        <f>Flujo!$F$47</f>
        <v>449</v>
      </c>
      <c r="B10" s="117" t="s">
        <v>144</v>
      </c>
      <c r="C10" s="83">
        <v>0</v>
      </c>
      <c r="D10" s="121">
        <f t="shared" si="0"/>
        <v>0</v>
      </c>
      <c r="E10" s="83">
        <v>0</v>
      </c>
      <c r="F10" s="122">
        <f t="shared" si="1"/>
        <v>0</v>
      </c>
      <c r="G10" s="83">
        <v>0</v>
      </c>
      <c r="H10" s="121">
        <f t="shared" si="2"/>
        <v>0</v>
      </c>
      <c r="I10" s="83">
        <v>0</v>
      </c>
      <c r="J10" s="122">
        <f t="shared" si="3"/>
        <v>0</v>
      </c>
      <c r="K10" s="83">
        <v>0</v>
      </c>
      <c r="L10" s="121">
        <f t="shared" si="4"/>
        <v>0</v>
      </c>
      <c r="M10" s="83">
        <v>0</v>
      </c>
      <c r="N10" s="122">
        <f t="shared" si="5"/>
        <v>0</v>
      </c>
    </row>
    <row r="11" spans="1:14" x14ac:dyDescent="0.25">
      <c r="A11" s="113"/>
      <c r="B11" s="114"/>
      <c r="C11" s="115"/>
      <c r="D11" s="91">
        <f>SUM(D4:D10)</f>
        <v>2044.3936000000001</v>
      </c>
      <c r="F11" s="88">
        <f>SUM(F4:F10)</f>
        <v>3696.6304</v>
      </c>
      <c r="G11" s="115"/>
      <c r="H11" s="91">
        <f>SUM(H4:H10)</f>
        <v>1557.0976000000001</v>
      </c>
      <c r="J11" s="88">
        <f>SUM(J4:J10)</f>
        <v>2517.6336000000001</v>
      </c>
      <c r="K11" s="115"/>
      <c r="L11" s="91">
        <f>SUM(L4:L10)</f>
        <v>1936.2</v>
      </c>
      <c r="N11" s="88">
        <f>SUM(N4:N10)</f>
        <v>2467.3536000000004</v>
      </c>
    </row>
    <row r="13" spans="1:14" x14ac:dyDescent="0.25">
      <c r="C13" s="152" t="s">
        <v>151</v>
      </c>
      <c r="D13" s="158"/>
      <c r="E13" s="158"/>
      <c r="F13" s="153"/>
      <c r="G13" s="152" t="s">
        <v>152</v>
      </c>
      <c r="H13" s="158"/>
      <c r="I13" s="158"/>
      <c r="J13" s="153"/>
      <c r="K13" s="152" t="s">
        <v>153</v>
      </c>
      <c r="L13" s="158"/>
      <c r="M13" s="158"/>
      <c r="N13" s="153"/>
    </row>
    <row r="14" spans="1:14" x14ac:dyDescent="0.25">
      <c r="A14" s="86" t="s">
        <v>142</v>
      </c>
      <c r="B14" s="86" t="s">
        <v>83</v>
      </c>
      <c r="C14" s="86" t="s">
        <v>116</v>
      </c>
      <c r="D14" s="119" t="s">
        <v>145</v>
      </c>
      <c r="E14" s="86" t="s">
        <v>116</v>
      </c>
      <c r="F14" s="128" t="s">
        <v>146</v>
      </c>
      <c r="G14" s="86" t="s">
        <v>116</v>
      </c>
      <c r="H14" s="119" t="s">
        <v>145</v>
      </c>
      <c r="I14" s="86" t="s">
        <v>116</v>
      </c>
      <c r="J14" s="128" t="s">
        <v>146</v>
      </c>
      <c r="K14" s="86" t="s">
        <v>116</v>
      </c>
      <c r="L14" s="119" t="s">
        <v>145</v>
      </c>
      <c r="M14" s="86" t="s">
        <v>116</v>
      </c>
      <c r="N14" s="128" t="s">
        <v>146</v>
      </c>
    </row>
    <row r="15" spans="1:14" x14ac:dyDescent="0.25">
      <c r="A15" s="111">
        <f>Flujo!$H$6</f>
        <v>1.86</v>
      </c>
      <c r="B15" s="116" t="s">
        <v>95</v>
      </c>
      <c r="C15" s="82">
        <v>150</v>
      </c>
      <c r="D15" s="120">
        <f t="shared" ref="D15:D21" si="6">C15*$A15</f>
        <v>279</v>
      </c>
      <c r="E15" s="82">
        <v>0</v>
      </c>
      <c r="F15" s="69">
        <f t="shared" ref="F15:F21" si="7">E15*$A15</f>
        <v>0</v>
      </c>
      <c r="G15" s="82">
        <v>150</v>
      </c>
      <c r="H15" s="120">
        <f t="shared" ref="H15:H21" si="8">G15*$A15</f>
        <v>279</v>
      </c>
      <c r="I15" s="82">
        <v>527</v>
      </c>
      <c r="J15" s="69">
        <f t="shared" ref="J15:J21" si="9">I15*$A15</f>
        <v>980.22</v>
      </c>
      <c r="K15" s="82">
        <v>150</v>
      </c>
      <c r="L15" s="120">
        <f t="shared" ref="L15:L21" si="10">K15*$A15</f>
        <v>279</v>
      </c>
      <c r="M15" s="82">
        <v>0</v>
      </c>
      <c r="N15" s="69">
        <f t="shared" ref="N15:N21" si="11">M15*$A15</f>
        <v>0</v>
      </c>
    </row>
    <row r="16" spans="1:14" x14ac:dyDescent="0.25">
      <c r="A16" s="111">
        <f>Flujo!$C$16</f>
        <v>0.25</v>
      </c>
      <c r="B16" s="116" t="s">
        <v>101</v>
      </c>
      <c r="C16" s="82">
        <v>1200</v>
      </c>
      <c r="D16" s="120">
        <f t="shared" si="6"/>
        <v>300</v>
      </c>
      <c r="E16" s="82">
        <v>0</v>
      </c>
      <c r="F16" s="69">
        <f t="shared" si="7"/>
        <v>0</v>
      </c>
      <c r="G16" s="82">
        <v>1200</v>
      </c>
      <c r="H16" s="120">
        <f t="shared" si="8"/>
        <v>300</v>
      </c>
      <c r="I16" s="82">
        <v>0</v>
      </c>
      <c r="J16" s="69">
        <f t="shared" si="9"/>
        <v>0</v>
      </c>
      <c r="K16" s="82">
        <v>1200</v>
      </c>
      <c r="L16" s="120">
        <f t="shared" si="10"/>
        <v>300</v>
      </c>
      <c r="M16" s="82">
        <v>2500</v>
      </c>
      <c r="N16" s="69">
        <f t="shared" si="11"/>
        <v>625</v>
      </c>
    </row>
    <row r="17" spans="1:16" x14ac:dyDescent="0.25">
      <c r="A17" s="111">
        <f>'Ecuaquimica Destrucción'!$K$7</f>
        <v>0.44</v>
      </c>
      <c r="B17" s="116" t="s">
        <v>96</v>
      </c>
      <c r="C17" s="82">
        <v>0</v>
      </c>
      <c r="D17" s="120">
        <f t="shared" si="6"/>
        <v>0</v>
      </c>
      <c r="E17" s="82">
        <v>0</v>
      </c>
      <c r="F17" s="69">
        <f t="shared" si="7"/>
        <v>0</v>
      </c>
      <c r="G17" s="82">
        <v>0</v>
      </c>
      <c r="H17" s="120">
        <f t="shared" si="8"/>
        <v>0</v>
      </c>
      <c r="I17" s="82">
        <v>527</v>
      </c>
      <c r="J17" s="69">
        <f t="shared" si="9"/>
        <v>231.88</v>
      </c>
      <c r="K17" s="82">
        <v>0</v>
      </c>
      <c r="L17" s="120">
        <f t="shared" si="10"/>
        <v>0</v>
      </c>
      <c r="M17" s="82">
        <v>0</v>
      </c>
      <c r="N17" s="69">
        <f t="shared" si="11"/>
        <v>0</v>
      </c>
    </row>
    <row r="18" spans="1:16" x14ac:dyDescent="0.25">
      <c r="A18" s="111">
        <f>'Ecuaquimica Destrucción'!$K$8</f>
        <v>1.32</v>
      </c>
      <c r="B18" s="116" t="s">
        <v>147</v>
      </c>
      <c r="C18" s="82">
        <v>0</v>
      </c>
      <c r="D18" s="120">
        <f t="shared" si="6"/>
        <v>0</v>
      </c>
      <c r="E18" s="82">
        <v>400</v>
      </c>
      <c r="F18" s="69">
        <f t="shared" si="7"/>
        <v>528</v>
      </c>
      <c r="G18" s="82">
        <v>0</v>
      </c>
      <c r="H18" s="120">
        <f t="shared" si="8"/>
        <v>0</v>
      </c>
      <c r="I18" s="82">
        <v>0</v>
      </c>
      <c r="J18" s="69">
        <f t="shared" si="9"/>
        <v>0</v>
      </c>
      <c r="K18" s="82">
        <v>0</v>
      </c>
      <c r="L18" s="120">
        <f t="shared" si="10"/>
        <v>0</v>
      </c>
      <c r="M18" s="82">
        <v>0</v>
      </c>
      <c r="N18" s="69">
        <f t="shared" si="11"/>
        <v>0</v>
      </c>
    </row>
    <row r="19" spans="1:16" x14ac:dyDescent="0.25">
      <c r="A19" s="123">
        <f>Flujo!$C$14</f>
        <v>0.60160000000000002</v>
      </c>
      <c r="B19" s="116" t="s">
        <v>143</v>
      </c>
      <c r="C19" s="82">
        <v>400</v>
      </c>
      <c r="D19" s="120">
        <f t="shared" si="6"/>
        <v>240.64000000000001</v>
      </c>
      <c r="E19" s="82">
        <v>1946</v>
      </c>
      <c r="F19" s="69">
        <f t="shared" si="7"/>
        <v>1170.7136</v>
      </c>
      <c r="G19" s="118">
        <v>800</v>
      </c>
      <c r="H19" s="120">
        <f t="shared" si="8"/>
        <v>481.28000000000003</v>
      </c>
      <c r="I19" s="82">
        <v>1946</v>
      </c>
      <c r="J19" s="69">
        <f t="shared" si="9"/>
        <v>1170.7136</v>
      </c>
      <c r="K19" s="118">
        <v>1200</v>
      </c>
      <c r="L19" s="120">
        <f t="shared" si="10"/>
        <v>721.92000000000007</v>
      </c>
      <c r="M19" s="82">
        <v>1946</v>
      </c>
      <c r="N19" s="69">
        <f t="shared" si="11"/>
        <v>1170.7136</v>
      </c>
    </row>
    <row r="20" spans="1:16" x14ac:dyDescent="0.25">
      <c r="A20" s="111">
        <f>Flujo!$A$40</f>
        <v>1.92</v>
      </c>
      <c r="B20" s="116" t="s">
        <v>22</v>
      </c>
      <c r="C20" s="82">
        <v>150</v>
      </c>
      <c r="D20" s="120">
        <f t="shared" si="6"/>
        <v>288</v>
      </c>
      <c r="E20" s="82">
        <v>0</v>
      </c>
      <c r="F20" s="69">
        <f t="shared" si="7"/>
        <v>0</v>
      </c>
      <c r="G20" s="118">
        <v>150</v>
      </c>
      <c r="H20" s="120">
        <f t="shared" si="8"/>
        <v>288</v>
      </c>
      <c r="I20" s="82">
        <v>0</v>
      </c>
      <c r="J20" s="69">
        <f t="shared" si="9"/>
        <v>0</v>
      </c>
      <c r="K20" s="118">
        <v>150</v>
      </c>
      <c r="L20" s="120">
        <f t="shared" si="10"/>
        <v>288</v>
      </c>
      <c r="M20" s="82">
        <v>0</v>
      </c>
      <c r="N20" s="69">
        <f t="shared" si="11"/>
        <v>0</v>
      </c>
    </row>
    <row r="21" spans="1:16" x14ac:dyDescent="0.25">
      <c r="A21" s="112">
        <v>449</v>
      </c>
      <c r="B21" s="117" t="s">
        <v>144</v>
      </c>
      <c r="C21" s="83">
        <v>1</v>
      </c>
      <c r="D21" s="121">
        <f t="shared" si="6"/>
        <v>449</v>
      </c>
      <c r="E21" s="83">
        <v>0</v>
      </c>
      <c r="F21" s="122">
        <f t="shared" si="7"/>
        <v>0</v>
      </c>
      <c r="G21" s="83">
        <v>1</v>
      </c>
      <c r="H21" s="121">
        <f t="shared" si="8"/>
        <v>449</v>
      </c>
      <c r="I21" s="83">
        <v>0</v>
      </c>
      <c r="J21" s="122">
        <f t="shared" si="9"/>
        <v>0</v>
      </c>
      <c r="K21" s="83">
        <v>1</v>
      </c>
      <c r="L21" s="121">
        <f t="shared" si="10"/>
        <v>449</v>
      </c>
      <c r="M21" s="83">
        <v>1</v>
      </c>
      <c r="N21" s="122">
        <f t="shared" si="11"/>
        <v>449</v>
      </c>
    </row>
    <row r="22" spans="1:16" x14ac:dyDescent="0.25">
      <c r="A22" s="113"/>
      <c r="B22" s="114"/>
      <c r="C22" s="115"/>
      <c r="D22" s="91">
        <f>SUM(D15:D21)</f>
        <v>1556.6399999999999</v>
      </c>
      <c r="F22" s="88">
        <f>SUM(F15:F21)</f>
        <v>1698.7136</v>
      </c>
      <c r="G22" s="115"/>
      <c r="H22" s="91">
        <f>SUM(H15:H21)</f>
        <v>1797.28</v>
      </c>
      <c r="J22" s="88">
        <f>SUM(J15:J21)</f>
        <v>2382.8136</v>
      </c>
      <c r="K22" s="115"/>
      <c r="L22" s="91">
        <f>SUM(L15:L21)</f>
        <v>2037.92</v>
      </c>
      <c r="N22" s="88">
        <f>SUM(N15:N21)</f>
        <v>2244.7136</v>
      </c>
    </row>
    <row r="25" spans="1:16" x14ac:dyDescent="0.25">
      <c r="A25" s="152" t="s">
        <v>174</v>
      </c>
      <c r="B25" s="153"/>
      <c r="C25" s="152" t="s">
        <v>154</v>
      </c>
      <c r="D25" s="158"/>
      <c r="E25" s="158"/>
      <c r="F25" s="153"/>
      <c r="G25" s="152" t="s">
        <v>155</v>
      </c>
      <c r="H25" s="158"/>
      <c r="I25" s="158"/>
      <c r="J25" s="153"/>
      <c r="K25" s="152" t="s">
        <v>156</v>
      </c>
      <c r="L25" s="158"/>
      <c r="M25" s="158"/>
      <c r="N25" s="153"/>
    </row>
    <row r="26" spans="1:16" x14ac:dyDescent="0.25">
      <c r="A26" s="86" t="s">
        <v>142</v>
      </c>
      <c r="B26" s="86" t="s">
        <v>83</v>
      </c>
      <c r="C26" s="86" t="s">
        <v>116</v>
      </c>
      <c r="D26" s="119" t="s">
        <v>145</v>
      </c>
      <c r="E26" s="86" t="s">
        <v>116</v>
      </c>
      <c r="F26" s="128" t="s">
        <v>146</v>
      </c>
      <c r="G26" s="86" t="s">
        <v>116</v>
      </c>
      <c r="H26" s="119" t="s">
        <v>145</v>
      </c>
      <c r="I26" s="86" t="s">
        <v>116</v>
      </c>
      <c r="J26" s="128" t="s">
        <v>146</v>
      </c>
      <c r="K26" s="86" t="s">
        <v>116</v>
      </c>
      <c r="L26" s="119" t="s">
        <v>145</v>
      </c>
      <c r="M26" s="86" t="s">
        <v>116</v>
      </c>
      <c r="N26" s="128" t="s">
        <v>146</v>
      </c>
    </row>
    <row r="27" spans="1:16" x14ac:dyDescent="0.25">
      <c r="A27" s="111">
        <f>Flujo!$H$6</f>
        <v>1.86</v>
      </c>
      <c r="B27" s="116" t="s">
        <v>95</v>
      </c>
      <c r="C27" s="82">
        <v>150</v>
      </c>
      <c r="D27" s="120">
        <f t="shared" ref="D27:D33" si="12">C27*$A27</f>
        <v>279</v>
      </c>
      <c r="E27" s="82">
        <v>0</v>
      </c>
      <c r="F27" s="69">
        <f t="shared" ref="F27:F33" si="13">E27*$A27</f>
        <v>0</v>
      </c>
      <c r="G27" s="82">
        <v>150</v>
      </c>
      <c r="H27" s="120">
        <f t="shared" ref="H27:H33" si="14">G27*$A27</f>
        <v>279</v>
      </c>
      <c r="I27" s="82">
        <v>0</v>
      </c>
      <c r="J27" s="69">
        <f t="shared" ref="J27:J33" si="15">I27*$A27</f>
        <v>0</v>
      </c>
      <c r="K27" s="82">
        <v>150</v>
      </c>
      <c r="L27" s="120">
        <f t="shared" ref="L27:L33" si="16">K27*$A27</f>
        <v>279</v>
      </c>
      <c r="M27" s="82">
        <v>300</v>
      </c>
      <c r="N27" s="124">
        <f t="shared" ref="N27:N33" si="17">M27*$A27</f>
        <v>558</v>
      </c>
    </row>
    <row r="28" spans="1:16" x14ac:dyDescent="0.25">
      <c r="A28" s="111">
        <f>Flujo!$C$16</f>
        <v>0.25</v>
      </c>
      <c r="B28" s="116" t="s">
        <v>101</v>
      </c>
      <c r="C28" s="82">
        <v>1200</v>
      </c>
      <c r="D28" s="120">
        <f t="shared" si="12"/>
        <v>300</v>
      </c>
      <c r="E28" s="82">
        <v>0</v>
      </c>
      <c r="F28" s="69">
        <f t="shared" si="13"/>
        <v>0</v>
      </c>
      <c r="G28" s="82">
        <v>1200</v>
      </c>
      <c r="H28" s="120">
        <f t="shared" si="14"/>
        <v>300</v>
      </c>
      <c r="I28" s="82">
        <v>0</v>
      </c>
      <c r="J28" s="69">
        <f t="shared" si="15"/>
        <v>0</v>
      </c>
      <c r="K28" s="82">
        <v>1200</v>
      </c>
      <c r="L28" s="120">
        <f t="shared" si="16"/>
        <v>300</v>
      </c>
      <c r="M28" s="82">
        <v>0</v>
      </c>
      <c r="N28" s="124">
        <f t="shared" si="17"/>
        <v>0</v>
      </c>
    </row>
    <row r="29" spans="1:16" x14ac:dyDescent="0.25">
      <c r="A29" s="111">
        <f>'Ecuaquimica Destrucción'!$K$7</f>
        <v>0.44</v>
      </c>
      <c r="B29" s="116" t="s">
        <v>96</v>
      </c>
      <c r="C29" s="82">
        <v>0</v>
      </c>
      <c r="D29" s="120">
        <f t="shared" si="12"/>
        <v>0</v>
      </c>
      <c r="E29" s="82">
        <v>0</v>
      </c>
      <c r="F29" s="69">
        <f t="shared" si="13"/>
        <v>0</v>
      </c>
      <c r="G29" s="82">
        <v>0</v>
      </c>
      <c r="H29" s="120">
        <f t="shared" si="14"/>
        <v>0</v>
      </c>
      <c r="I29" s="82">
        <v>0</v>
      </c>
      <c r="J29" s="69">
        <f t="shared" si="15"/>
        <v>0</v>
      </c>
      <c r="K29" s="82">
        <v>0</v>
      </c>
      <c r="L29" s="120">
        <f t="shared" si="16"/>
        <v>0</v>
      </c>
      <c r="M29" s="82">
        <v>300</v>
      </c>
      <c r="N29" s="124">
        <f t="shared" si="17"/>
        <v>132</v>
      </c>
      <c r="P29" s="141"/>
    </row>
    <row r="30" spans="1:16" x14ac:dyDescent="0.25">
      <c r="A30" s="111">
        <f>'Ecuaquimica Destrucción'!$K$8</f>
        <v>1.32</v>
      </c>
      <c r="B30" s="116" t="s">
        <v>147</v>
      </c>
      <c r="C30" s="82">
        <v>0</v>
      </c>
      <c r="D30" s="120">
        <f t="shared" si="12"/>
        <v>0</v>
      </c>
      <c r="E30" s="82">
        <v>0</v>
      </c>
      <c r="F30" s="69">
        <f t="shared" si="13"/>
        <v>0</v>
      </c>
      <c r="G30" s="82">
        <v>0</v>
      </c>
      <c r="H30" s="120">
        <f t="shared" si="14"/>
        <v>0</v>
      </c>
      <c r="I30" s="82">
        <v>0</v>
      </c>
      <c r="J30" s="69">
        <f t="shared" si="15"/>
        <v>0</v>
      </c>
      <c r="K30" s="82">
        <v>0</v>
      </c>
      <c r="L30" s="120">
        <f t="shared" si="16"/>
        <v>0</v>
      </c>
      <c r="M30" s="82">
        <v>0</v>
      </c>
      <c r="N30" s="124">
        <f t="shared" si="17"/>
        <v>0</v>
      </c>
    </row>
    <row r="31" spans="1:16" x14ac:dyDescent="0.25">
      <c r="A31" s="123">
        <f>Flujo!$C$14</f>
        <v>0.60160000000000002</v>
      </c>
      <c r="B31" s="116" t="s">
        <v>143</v>
      </c>
      <c r="C31" s="82">
        <v>1200</v>
      </c>
      <c r="D31" s="120">
        <f t="shared" si="12"/>
        <v>721.92000000000007</v>
      </c>
      <c r="E31" s="82">
        <v>1946</v>
      </c>
      <c r="F31" s="69">
        <f t="shared" si="13"/>
        <v>1170.7136</v>
      </c>
      <c r="G31" s="82">
        <v>1200</v>
      </c>
      <c r="H31" s="120">
        <f t="shared" si="14"/>
        <v>721.92000000000007</v>
      </c>
      <c r="I31" s="82">
        <v>1946</v>
      </c>
      <c r="J31" s="69">
        <f t="shared" si="15"/>
        <v>1170.7136</v>
      </c>
      <c r="K31" s="82">
        <v>1200</v>
      </c>
      <c r="L31" s="120">
        <f t="shared" si="16"/>
        <v>721.92000000000007</v>
      </c>
      <c r="M31" s="82">
        <f>1946+300</f>
        <v>2246</v>
      </c>
      <c r="N31" s="124">
        <f t="shared" si="17"/>
        <v>1351.1936000000001</v>
      </c>
    </row>
    <row r="32" spans="1:16" x14ac:dyDescent="0.25">
      <c r="A32" s="111">
        <f>Flujo!$A$40</f>
        <v>1.92</v>
      </c>
      <c r="B32" s="116" t="s">
        <v>22</v>
      </c>
      <c r="C32" s="82">
        <v>150</v>
      </c>
      <c r="D32" s="120">
        <f t="shared" si="12"/>
        <v>288</v>
      </c>
      <c r="E32" s="82">
        <v>0</v>
      </c>
      <c r="F32" s="69">
        <f t="shared" si="13"/>
        <v>0</v>
      </c>
      <c r="G32" s="82">
        <v>150</v>
      </c>
      <c r="H32" s="120">
        <f t="shared" si="14"/>
        <v>288</v>
      </c>
      <c r="I32" s="82">
        <v>0</v>
      </c>
      <c r="J32" s="69">
        <f t="shared" si="15"/>
        <v>0</v>
      </c>
      <c r="K32" s="82">
        <v>150</v>
      </c>
      <c r="L32" s="120">
        <f t="shared" si="16"/>
        <v>288</v>
      </c>
      <c r="M32" s="82">
        <v>0</v>
      </c>
      <c r="N32" s="124">
        <f t="shared" si="17"/>
        <v>0</v>
      </c>
    </row>
    <row r="33" spans="1:14" x14ac:dyDescent="0.25">
      <c r="A33" s="112">
        <v>449</v>
      </c>
      <c r="B33" s="117" t="s">
        <v>144</v>
      </c>
      <c r="C33" s="83">
        <v>1</v>
      </c>
      <c r="D33" s="121">
        <f t="shared" si="12"/>
        <v>449</v>
      </c>
      <c r="E33" s="83">
        <v>1</v>
      </c>
      <c r="F33" s="122">
        <f t="shared" si="13"/>
        <v>449</v>
      </c>
      <c r="G33" s="83">
        <v>1</v>
      </c>
      <c r="H33" s="121">
        <f t="shared" si="14"/>
        <v>449</v>
      </c>
      <c r="I33" s="83">
        <v>1</v>
      </c>
      <c r="J33" s="122">
        <f t="shared" si="15"/>
        <v>449</v>
      </c>
      <c r="K33" s="83">
        <v>1</v>
      </c>
      <c r="L33" s="121">
        <f t="shared" si="16"/>
        <v>449</v>
      </c>
      <c r="M33" s="83">
        <v>1</v>
      </c>
      <c r="N33" s="125">
        <f t="shared" si="17"/>
        <v>449</v>
      </c>
    </row>
    <row r="34" spans="1:14" x14ac:dyDescent="0.25">
      <c r="A34" s="113"/>
      <c r="B34" s="114"/>
      <c r="C34" s="115"/>
      <c r="D34" s="91">
        <f>SUM(D27:D33)</f>
        <v>2037.92</v>
      </c>
      <c r="F34" s="88">
        <f>SUM(F27:F33)</f>
        <v>1619.7136</v>
      </c>
      <c r="G34" s="115"/>
      <c r="H34" s="91">
        <f>SUM(H27:H33)</f>
        <v>2037.92</v>
      </c>
      <c r="J34" s="88">
        <f>SUM(J27:J33)</f>
        <v>1619.7136</v>
      </c>
      <c r="K34" s="115"/>
      <c r="L34" s="91">
        <f>SUM(L27:L33)</f>
        <v>2037.92</v>
      </c>
      <c r="N34" s="88">
        <f>SUM(N27:N33)</f>
        <v>2490.1936000000001</v>
      </c>
    </row>
    <row r="37" spans="1:14" x14ac:dyDescent="0.25">
      <c r="A37" s="152" t="s">
        <v>174</v>
      </c>
      <c r="B37" s="153"/>
      <c r="C37" s="159" t="s">
        <v>157</v>
      </c>
      <c r="D37" s="160"/>
      <c r="E37" s="160"/>
      <c r="F37" s="161"/>
      <c r="G37" s="159" t="s">
        <v>158</v>
      </c>
      <c r="H37" s="160"/>
      <c r="I37" s="160"/>
      <c r="J37" s="161"/>
      <c r="K37" s="159" t="s">
        <v>159</v>
      </c>
      <c r="L37" s="160"/>
      <c r="M37" s="160"/>
      <c r="N37" s="161"/>
    </row>
    <row r="38" spans="1:14" x14ac:dyDescent="0.25">
      <c r="A38" s="86" t="s">
        <v>142</v>
      </c>
      <c r="B38" s="86" t="s">
        <v>83</v>
      </c>
      <c r="C38" s="86" t="s">
        <v>116</v>
      </c>
      <c r="D38" s="119" t="s">
        <v>145</v>
      </c>
      <c r="E38" s="86" t="s">
        <v>116</v>
      </c>
      <c r="F38" s="128" t="s">
        <v>146</v>
      </c>
      <c r="G38" s="86" t="s">
        <v>116</v>
      </c>
      <c r="H38" s="119" t="s">
        <v>145</v>
      </c>
      <c r="I38" s="86" t="s">
        <v>116</v>
      </c>
      <c r="J38" s="128" t="s">
        <v>146</v>
      </c>
      <c r="K38" s="86" t="s">
        <v>116</v>
      </c>
      <c r="L38" s="119" t="s">
        <v>145</v>
      </c>
      <c r="M38" s="86" t="s">
        <v>116</v>
      </c>
      <c r="N38" s="128" t="s">
        <v>146</v>
      </c>
    </row>
    <row r="39" spans="1:14" x14ac:dyDescent="0.25">
      <c r="A39" s="111">
        <f>Flujo!$H$6</f>
        <v>1.86</v>
      </c>
      <c r="B39" s="116" t="s">
        <v>95</v>
      </c>
      <c r="C39" s="82">
        <v>150</v>
      </c>
      <c r="D39" s="120">
        <f t="shared" ref="D39:D46" si="18">C39*$A39</f>
        <v>279</v>
      </c>
      <c r="E39" s="82">
        <v>0</v>
      </c>
      <c r="F39" s="124">
        <f t="shared" ref="F39:F46" si="19">E39*$A39</f>
        <v>0</v>
      </c>
      <c r="G39" s="82">
        <v>0</v>
      </c>
      <c r="H39" s="120">
        <f t="shared" ref="H39:H46" si="20">G39*$A39</f>
        <v>0</v>
      </c>
      <c r="I39" s="82">
        <v>0</v>
      </c>
      <c r="J39" s="69">
        <f t="shared" ref="J39:J46" si="21">I39*$A39</f>
        <v>0</v>
      </c>
      <c r="K39" s="82">
        <v>0</v>
      </c>
      <c r="L39" s="120">
        <f t="shared" ref="L39:L46" si="22">K39*$A39</f>
        <v>0</v>
      </c>
      <c r="M39" s="82">
        <v>0</v>
      </c>
      <c r="N39" s="69">
        <f t="shared" ref="N39:N46" si="23">M39*$A39</f>
        <v>0</v>
      </c>
    </row>
    <row r="40" spans="1:14" x14ac:dyDescent="0.25">
      <c r="A40" s="111">
        <f>Flujo!$C$16</f>
        <v>0.25</v>
      </c>
      <c r="B40" s="116" t="s">
        <v>101</v>
      </c>
      <c r="C40" s="82">
        <v>1200</v>
      </c>
      <c r="D40" s="120">
        <f t="shared" si="18"/>
        <v>300</v>
      </c>
      <c r="E40" s="82">
        <v>0</v>
      </c>
      <c r="F40" s="124">
        <f t="shared" si="19"/>
        <v>0</v>
      </c>
      <c r="G40" s="82">
        <v>0</v>
      </c>
      <c r="H40" s="120">
        <f t="shared" si="20"/>
        <v>0</v>
      </c>
      <c r="I40" s="82">
        <v>0</v>
      </c>
      <c r="J40" s="69">
        <f t="shared" si="21"/>
        <v>0</v>
      </c>
      <c r="K40" s="82">
        <v>0</v>
      </c>
      <c r="L40" s="120">
        <f t="shared" si="22"/>
        <v>0</v>
      </c>
      <c r="M40" s="82">
        <v>0</v>
      </c>
      <c r="N40" s="69">
        <f t="shared" si="23"/>
        <v>0</v>
      </c>
    </row>
    <row r="41" spans="1:14" x14ac:dyDescent="0.25">
      <c r="A41" s="111">
        <f>'Ecuaquimica Destrucción'!$K$7</f>
        <v>0.44</v>
      </c>
      <c r="B41" s="116" t="s">
        <v>96</v>
      </c>
      <c r="C41" s="82">
        <v>0</v>
      </c>
      <c r="D41" s="120">
        <f t="shared" si="18"/>
        <v>0</v>
      </c>
      <c r="E41" s="82">
        <v>0</v>
      </c>
      <c r="F41" s="124">
        <f t="shared" si="19"/>
        <v>0</v>
      </c>
      <c r="G41" s="82">
        <v>0</v>
      </c>
      <c r="H41" s="120">
        <f t="shared" si="20"/>
        <v>0</v>
      </c>
      <c r="I41" s="82">
        <v>0</v>
      </c>
      <c r="J41" s="69">
        <f t="shared" si="21"/>
        <v>0</v>
      </c>
      <c r="K41" s="82">
        <v>0</v>
      </c>
      <c r="L41" s="120">
        <f t="shared" si="22"/>
        <v>0</v>
      </c>
      <c r="M41" s="82">
        <v>0</v>
      </c>
      <c r="N41" s="69">
        <f t="shared" si="23"/>
        <v>0</v>
      </c>
    </row>
    <row r="42" spans="1:14" x14ac:dyDescent="0.25">
      <c r="A42" s="111">
        <f>'Ecuaquimica Destrucción'!$K$8</f>
        <v>1.32</v>
      </c>
      <c r="B42" s="116" t="s">
        <v>147</v>
      </c>
      <c r="C42" s="82">
        <v>0</v>
      </c>
      <c r="D42" s="120">
        <f t="shared" si="18"/>
        <v>0</v>
      </c>
      <c r="E42" s="82">
        <v>395</v>
      </c>
      <c r="F42" s="124">
        <f t="shared" si="19"/>
        <v>521.4</v>
      </c>
      <c r="G42" s="82">
        <v>0</v>
      </c>
      <c r="H42" s="120">
        <f t="shared" si="20"/>
        <v>0</v>
      </c>
      <c r="I42" s="82">
        <v>378</v>
      </c>
      <c r="J42" s="69">
        <f>(I42*$A42)-((A42*I42)*10%)</f>
        <v>449.06400000000002</v>
      </c>
      <c r="K42" s="82">
        <v>0</v>
      </c>
      <c r="L42" s="120">
        <f t="shared" si="22"/>
        <v>0</v>
      </c>
      <c r="M42" s="82">
        <v>16</v>
      </c>
      <c r="N42" s="69">
        <f t="shared" si="23"/>
        <v>21.12</v>
      </c>
    </row>
    <row r="43" spans="1:14" x14ac:dyDescent="0.25">
      <c r="A43" s="123">
        <f>Flujo!$C$14</f>
        <v>0.60160000000000002</v>
      </c>
      <c r="B43" s="116" t="s">
        <v>143</v>
      </c>
      <c r="C43" s="82">
        <v>1200</v>
      </c>
      <c r="D43" s="120">
        <f t="shared" si="18"/>
        <v>721.92000000000007</v>
      </c>
      <c r="E43" s="82">
        <f>2246-395</f>
        <v>1851</v>
      </c>
      <c r="F43" s="124">
        <f t="shared" si="19"/>
        <v>1113.5616</v>
      </c>
      <c r="G43" s="118">
        <v>1200</v>
      </c>
      <c r="H43" s="120">
        <f t="shared" si="20"/>
        <v>721.92000000000007</v>
      </c>
      <c r="I43" s="82">
        <f>2246-378</f>
        <v>1868</v>
      </c>
      <c r="J43" s="69">
        <f t="shared" si="21"/>
        <v>1123.7888</v>
      </c>
      <c r="K43" s="118">
        <v>1200</v>
      </c>
      <c r="L43" s="120">
        <f t="shared" si="22"/>
        <v>721.92000000000007</v>
      </c>
      <c r="M43" s="82">
        <f>I43</f>
        <v>1868</v>
      </c>
      <c r="N43" s="69">
        <f t="shared" si="23"/>
        <v>1123.7888</v>
      </c>
    </row>
    <row r="44" spans="1:14" x14ac:dyDescent="0.25">
      <c r="A44" s="111">
        <f>Flujo!$A$40</f>
        <v>1.92</v>
      </c>
      <c r="B44" s="116" t="s">
        <v>22</v>
      </c>
      <c r="C44" s="82">
        <v>150</v>
      </c>
      <c r="D44" s="120">
        <f t="shared" si="18"/>
        <v>288</v>
      </c>
      <c r="E44" s="82">
        <v>0</v>
      </c>
      <c r="F44" s="124">
        <f t="shared" si="19"/>
        <v>0</v>
      </c>
      <c r="G44" s="118">
        <v>0</v>
      </c>
      <c r="H44" s="120">
        <f t="shared" si="20"/>
        <v>0</v>
      </c>
      <c r="I44" s="82">
        <v>0</v>
      </c>
      <c r="J44" s="69">
        <f t="shared" si="21"/>
        <v>0</v>
      </c>
      <c r="K44" s="118">
        <v>0</v>
      </c>
      <c r="L44" s="120">
        <f t="shared" si="22"/>
        <v>0</v>
      </c>
      <c r="M44" s="82">
        <v>0</v>
      </c>
      <c r="N44" s="69">
        <f t="shared" si="23"/>
        <v>0</v>
      </c>
    </row>
    <row r="45" spans="1:14" x14ac:dyDescent="0.25">
      <c r="A45" s="123">
        <f>Flujo!$C$15</f>
        <v>0.1171</v>
      </c>
      <c r="B45" s="116" t="s">
        <v>160</v>
      </c>
      <c r="C45" s="82">
        <v>0</v>
      </c>
      <c r="D45" s="120">
        <f t="shared" si="18"/>
        <v>0</v>
      </c>
      <c r="E45" s="82">
        <v>0</v>
      </c>
      <c r="F45" s="124">
        <f t="shared" si="19"/>
        <v>0</v>
      </c>
      <c r="G45" s="118">
        <v>4800</v>
      </c>
      <c r="H45" s="120">
        <f t="shared" si="20"/>
        <v>562.07999999999993</v>
      </c>
      <c r="I45" s="82">
        <v>0</v>
      </c>
      <c r="J45" s="69">
        <f t="shared" si="21"/>
        <v>0</v>
      </c>
      <c r="K45" s="118">
        <v>4800</v>
      </c>
      <c r="L45" s="120">
        <f t="shared" si="22"/>
        <v>562.07999999999993</v>
      </c>
      <c r="M45" s="82">
        <v>9600</v>
      </c>
      <c r="N45" s="69">
        <f t="shared" si="23"/>
        <v>1124.1599999999999</v>
      </c>
    </row>
    <row r="46" spans="1:14" x14ac:dyDescent="0.25">
      <c r="A46" s="112">
        <v>449</v>
      </c>
      <c r="B46" s="117" t="s">
        <v>144</v>
      </c>
      <c r="C46" s="83">
        <v>1</v>
      </c>
      <c r="D46" s="121">
        <f t="shared" si="18"/>
        <v>449</v>
      </c>
      <c r="E46" s="83">
        <v>1</v>
      </c>
      <c r="F46" s="125">
        <f t="shared" si="19"/>
        <v>449</v>
      </c>
      <c r="G46" s="83">
        <v>1</v>
      </c>
      <c r="H46" s="121">
        <f t="shared" si="20"/>
        <v>449</v>
      </c>
      <c r="I46" s="83">
        <v>1</v>
      </c>
      <c r="J46" s="122">
        <f t="shared" si="21"/>
        <v>449</v>
      </c>
      <c r="K46" s="83">
        <v>1</v>
      </c>
      <c r="L46" s="121">
        <f t="shared" si="22"/>
        <v>449</v>
      </c>
      <c r="M46" s="83">
        <v>1</v>
      </c>
      <c r="N46" s="122">
        <f t="shared" si="23"/>
        <v>449</v>
      </c>
    </row>
    <row r="47" spans="1:14" x14ac:dyDescent="0.25">
      <c r="A47" s="113"/>
      <c r="B47" s="114"/>
      <c r="C47" s="115"/>
      <c r="D47" s="91">
        <f>SUM(D39:D46)</f>
        <v>2037.92</v>
      </c>
      <c r="F47" s="88">
        <f>SUM(F39:F46)</f>
        <v>2083.9616000000001</v>
      </c>
      <c r="G47" s="115"/>
      <c r="H47" s="91">
        <f>SUM(H39:H46)</f>
        <v>1733</v>
      </c>
      <c r="J47" s="88">
        <f>SUM(J39:J46)</f>
        <v>2021.8528000000001</v>
      </c>
      <c r="K47" s="115"/>
      <c r="L47" s="91">
        <f>SUM(L39:L46)</f>
        <v>1733</v>
      </c>
      <c r="N47" s="88">
        <f>SUM(N39:N46)</f>
        <v>2718.0688</v>
      </c>
    </row>
    <row r="50" spans="2:4" x14ac:dyDescent="0.25">
      <c r="B50" s="126" t="s">
        <v>161</v>
      </c>
      <c r="C50" s="154">
        <f>D11+H11+L11+D22+H22+L22+D34+H34+L34+D47+H47+L47</f>
        <v>22547.211199999998</v>
      </c>
      <c r="D50" s="155"/>
    </row>
    <row r="51" spans="2:4" hidden="1" x14ac:dyDescent="0.25">
      <c r="B51" s="127" t="s">
        <v>162</v>
      </c>
      <c r="C51" s="156">
        <f>F11+J11+N11+F22+J22+N22+F34+J34+N34+F47+J47+N47</f>
        <v>27561.362399999998</v>
      </c>
      <c r="D51" s="157"/>
    </row>
    <row r="52" spans="2:4" hidden="1" x14ac:dyDescent="0.25"/>
    <row r="53" spans="2:4" hidden="1" x14ac:dyDescent="0.25">
      <c r="D53" s="1">
        <f>C51-C50</f>
        <v>5014.1512000000002</v>
      </c>
    </row>
  </sheetData>
  <mergeCells count="16">
    <mergeCell ref="K25:N25"/>
    <mergeCell ref="C37:F37"/>
    <mergeCell ref="G37:J37"/>
    <mergeCell ref="K37:N37"/>
    <mergeCell ref="C2:F2"/>
    <mergeCell ref="G2:J2"/>
    <mergeCell ref="K2:N2"/>
    <mergeCell ref="C13:F13"/>
    <mergeCell ref="G13:J13"/>
    <mergeCell ref="K13:N13"/>
    <mergeCell ref="A25:B25"/>
    <mergeCell ref="C50:D50"/>
    <mergeCell ref="C51:D51"/>
    <mergeCell ref="C25:F25"/>
    <mergeCell ref="G25:J25"/>
    <mergeCell ref="A37:B37"/>
  </mergeCells>
  <phoneticPr fontId="6" type="noConversion"/>
  <pageMargins left="0.7" right="0.7" top="0.75" bottom="0.75" header="0.3" footer="0.3"/>
  <pageSetup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B939E-6E3F-4A6D-8A6C-DDFA5B09D3FB}">
  <dimension ref="A1:G24"/>
  <sheetViews>
    <sheetView topLeftCell="A10" workbookViewId="0">
      <selection activeCell="D16" sqref="D16"/>
    </sheetView>
  </sheetViews>
  <sheetFormatPr baseColWidth="10" defaultRowHeight="15" x14ac:dyDescent="0.25"/>
  <cols>
    <col min="1" max="1" width="14.28515625" bestFit="1" customWidth="1"/>
    <col min="2" max="2" width="16.85546875" bestFit="1" customWidth="1"/>
    <col min="3" max="3" width="15.28515625" bestFit="1" customWidth="1"/>
    <col min="4" max="4" width="10" bestFit="1" customWidth="1"/>
    <col min="5" max="5" width="16.5703125" bestFit="1" customWidth="1"/>
  </cols>
  <sheetData>
    <row r="1" spans="1:5" ht="15.75" customHeight="1" thickBot="1" x14ac:dyDescent="0.3">
      <c r="A1" s="162" t="s">
        <v>127</v>
      </c>
      <c r="B1" s="163"/>
      <c r="C1" s="163"/>
      <c r="D1" s="163"/>
      <c r="E1" s="164"/>
    </row>
    <row r="2" spans="1:5" ht="15.75" thickBot="1" x14ac:dyDescent="0.3">
      <c r="A2" s="105" t="s">
        <v>128</v>
      </c>
      <c r="B2" s="106" t="s">
        <v>129</v>
      </c>
      <c r="C2" s="106" t="s">
        <v>130</v>
      </c>
      <c r="D2" s="107" t="s">
        <v>140</v>
      </c>
      <c r="E2" s="107" t="s">
        <v>141</v>
      </c>
    </row>
    <row r="3" spans="1:5" ht="15.75" thickBot="1" x14ac:dyDescent="0.3">
      <c r="A3" s="98"/>
      <c r="B3" s="99"/>
      <c r="C3" s="99"/>
      <c r="D3" s="109">
        <v>0.12</v>
      </c>
      <c r="E3" s="99"/>
    </row>
    <row r="4" spans="1:5" ht="15.75" thickBot="1" x14ac:dyDescent="0.3">
      <c r="A4" s="98" t="s">
        <v>84</v>
      </c>
      <c r="B4" s="99" t="s">
        <v>131</v>
      </c>
      <c r="C4" s="103">
        <v>2047.35</v>
      </c>
      <c r="D4" s="103">
        <f>C4*$D$3</f>
        <v>245.68199999999999</v>
      </c>
      <c r="E4" s="103">
        <f>C4-D4</f>
        <v>1801.6679999999999</v>
      </c>
    </row>
    <row r="5" spans="1:5" ht="15.75" thickBot="1" x14ac:dyDescent="0.3">
      <c r="A5" s="98" t="s">
        <v>84</v>
      </c>
      <c r="B5" s="99" t="s">
        <v>132</v>
      </c>
      <c r="C5" s="103">
        <v>2106.0500000000002</v>
      </c>
      <c r="D5" s="103">
        <f t="shared" ref="D5:D16" si="0">C5*$D$3</f>
        <v>252.726</v>
      </c>
      <c r="E5" s="103">
        <f t="shared" ref="E5:E16" si="1">C5-D5</f>
        <v>1853.3240000000001</v>
      </c>
    </row>
    <row r="6" spans="1:5" ht="15.75" thickBot="1" x14ac:dyDescent="0.3">
      <c r="A6" s="98" t="s">
        <v>85</v>
      </c>
      <c r="B6" s="99" t="s">
        <v>133</v>
      </c>
      <c r="C6" s="103">
        <v>1786.57</v>
      </c>
      <c r="D6" s="103">
        <f t="shared" si="0"/>
        <v>214.38839999999999</v>
      </c>
      <c r="E6" s="103">
        <f t="shared" si="1"/>
        <v>1572.1815999999999</v>
      </c>
    </row>
    <row r="7" spans="1:5" ht="15.75" thickBot="1" x14ac:dyDescent="0.3">
      <c r="A7" s="98" t="s">
        <v>85</v>
      </c>
      <c r="B7" s="99" t="s">
        <v>134</v>
      </c>
      <c r="C7" s="103">
        <v>700</v>
      </c>
      <c r="D7" s="103">
        <f t="shared" si="0"/>
        <v>84</v>
      </c>
      <c r="E7" s="103">
        <f t="shared" si="1"/>
        <v>616</v>
      </c>
    </row>
    <row r="8" spans="1:5" ht="15.75" thickBot="1" x14ac:dyDescent="0.3">
      <c r="A8" s="98" t="s">
        <v>85</v>
      </c>
      <c r="B8" s="99" t="s">
        <v>135</v>
      </c>
      <c r="C8" s="103">
        <v>355.08</v>
      </c>
      <c r="D8" s="103">
        <f t="shared" si="0"/>
        <v>42.609599999999993</v>
      </c>
      <c r="E8" s="103">
        <f t="shared" si="1"/>
        <v>312.47039999999998</v>
      </c>
    </row>
    <row r="9" spans="1:5" ht="15.75" thickBot="1" x14ac:dyDescent="0.3">
      <c r="A9" s="98" t="s">
        <v>86</v>
      </c>
      <c r="B9" s="99" t="s">
        <v>136</v>
      </c>
      <c r="C9" s="103">
        <v>2763.43</v>
      </c>
      <c r="D9" s="103">
        <f t="shared" si="0"/>
        <v>331.61159999999995</v>
      </c>
      <c r="E9" s="103">
        <f t="shared" si="1"/>
        <v>2431.8184000000001</v>
      </c>
    </row>
    <row r="10" spans="1:5" ht="15.75" thickBot="1" x14ac:dyDescent="0.3">
      <c r="A10" s="98" t="s">
        <v>87</v>
      </c>
      <c r="B10" s="99" t="s">
        <v>137</v>
      </c>
      <c r="C10" s="103">
        <v>1902.56</v>
      </c>
      <c r="D10" s="103">
        <f t="shared" si="0"/>
        <v>228.30719999999999</v>
      </c>
      <c r="E10" s="103">
        <f t="shared" si="1"/>
        <v>1674.2528</v>
      </c>
    </row>
    <row r="11" spans="1:5" ht="15.75" thickBot="1" x14ac:dyDescent="0.3">
      <c r="A11" s="98" t="s">
        <v>88</v>
      </c>
      <c r="B11" s="99" t="s">
        <v>163</v>
      </c>
      <c r="C11" s="103">
        <v>2668.75</v>
      </c>
      <c r="D11" s="103">
        <f t="shared" si="0"/>
        <v>320.25</v>
      </c>
      <c r="E11" s="103">
        <f t="shared" si="1"/>
        <v>2348.5</v>
      </c>
    </row>
    <row r="12" spans="1:5" ht="15.75" thickBot="1" x14ac:dyDescent="0.3">
      <c r="A12" s="98" t="s">
        <v>89</v>
      </c>
      <c r="B12" s="99" t="s">
        <v>164</v>
      </c>
      <c r="C12" s="103">
        <v>2514.08</v>
      </c>
      <c r="D12" s="103">
        <f t="shared" si="0"/>
        <v>301.68959999999998</v>
      </c>
      <c r="E12" s="103">
        <f t="shared" si="1"/>
        <v>2212.3903999999998</v>
      </c>
    </row>
    <row r="13" spans="1:5" ht="15.75" thickBot="1" x14ac:dyDescent="0.3">
      <c r="A13" s="98" t="s">
        <v>90</v>
      </c>
      <c r="B13" s="99" t="s">
        <v>172</v>
      </c>
      <c r="C13" s="103">
        <v>1621.81</v>
      </c>
      <c r="D13" s="103">
        <f t="shared" si="0"/>
        <v>194.6172</v>
      </c>
      <c r="E13" s="103">
        <f t="shared" si="1"/>
        <v>1427.1928</v>
      </c>
    </row>
    <row r="14" spans="1:5" ht="15.75" thickBot="1" x14ac:dyDescent="0.3">
      <c r="A14" s="98" t="s">
        <v>120</v>
      </c>
      <c r="B14" s="99" t="s">
        <v>173</v>
      </c>
      <c r="C14" s="103">
        <v>1826.24</v>
      </c>
      <c r="D14" s="103">
        <f t="shared" si="0"/>
        <v>219.14879999999999</v>
      </c>
      <c r="E14" s="103">
        <f t="shared" si="1"/>
        <v>1607.0912000000001</v>
      </c>
    </row>
    <row r="15" spans="1:5" ht="15.75" thickBot="1" x14ac:dyDescent="0.3">
      <c r="A15" s="98" t="s">
        <v>91</v>
      </c>
      <c r="B15" s="99" t="s">
        <v>175</v>
      </c>
      <c r="C15" s="103">
        <v>3072.01</v>
      </c>
      <c r="D15" s="103">
        <f t="shared" si="0"/>
        <v>368.64120000000003</v>
      </c>
      <c r="E15" s="103">
        <f t="shared" si="1"/>
        <v>2703.3688000000002</v>
      </c>
    </row>
    <row r="16" spans="1:5" ht="15.75" thickBot="1" x14ac:dyDescent="0.3">
      <c r="A16" s="98" t="s">
        <v>92</v>
      </c>
      <c r="B16" s="99" t="s">
        <v>176</v>
      </c>
      <c r="C16" s="103">
        <v>2019.19</v>
      </c>
      <c r="D16" s="103">
        <f t="shared" si="0"/>
        <v>242.30279999999999</v>
      </c>
      <c r="E16" s="103">
        <f t="shared" si="1"/>
        <v>1776.8872000000001</v>
      </c>
    </row>
    <row r="17" spans="1:7" ht="15.75" thickBot="1" x14ac:dyDescent="0.3">
      <c r="A17" s="98" t="s">
        <v>93</v>
      </c>
      <c r="B17" s="99"/>
      <c r="C17" s="103"/>
      <c r="D17" s="103"/>
      <c r="E17" s="103"/>
    </row>
    <row r="18" spans="1:7" ht="15.75" thickBot="1" x14ac:dyDescent="0.3">
      <c r="A18" s="98" t="s">
        <v>94</v>
      </c>
      <c r="B18" s="99"/>
      <c r="C18" s="103"/>
      <c r="D18" s="103"/>
      <c r="E18" s="103"/>
    </row>
    <row r="19" spans="1:7" ht="15.75" thickBot="1" x14ac:dyDescent="0.3">
      <c r="A19" s="98"/>
      <c r="B19" s="99"/>
      <c r="C19" s="103"/>
      <c r="D19" s="103"/>
      <c r="E19" s="103"/>
    </row>
    <row r="20" spans="1:7" ht="15.75" thickBot="1" x14ac:dyDescent="0.3">
      <c r="A20" s="98"/>
      <c r="B20" s="99"/>
      <c r="C20" s="103"/>
      <c r="D20" s="103"/>
      <c r="E20" s="103"/>
    </row>
    <row r="21" spans="1:7" ht="15.75" thickBot="1" x14ac:dyDescent="0.3">
      <c r="A21" s="98"/>
      <c r="B21" s="99"/>
      <c r="C21" s="99"/>
      <c r="D21" s="99"/>
      <c r="E21" s="99"/>
    </row>
    <row r="22" spans="1:7" ht="15.75" thickBot="1" x14ac:dyDescent="0.3">
      <c r="A22" s="100" t="s">
        <v>138</v>
      </c>
      <c r="B22" s="101"/>
      <c r="C22" s="104">
        <f>SUM(C4:C21)</f>
        <v>25383.119999999999</v>
      </c>
      <c r="D22" s="104">
        <f t="shared" ref="D22:E22" si="2">SUM(D4:D21)</f>
        <v>3045.9743999999996</v>
      </c>
      <c r="E22" s="104">
        <f t="shared" si="2"/>
        <v>22337.145600000003</v>
      </c>
    </row>
    <row r="23" spans="1:7" ht="15.75" thickBot="1" x14ac:dyDescent="0.3">
      <c r="A23" s="98"/>
      <c r="B23" s="99"/>
      <c r="C23" s="99"/>
      <c r="D23" s="99"/>
      <c r="E23" s="99"/>
    </row>
    <row r="24" spans="1:7" ht="30.75" thickBot="1" x14ac:dyDescent="0.3">
      <c r="A24" s="98" t="s">
        <v>139</v>
      </c>
      <c r="B24" s="99"/>
      <c r="C24" s="108">
        <f>24000-C22</f>
        <v>-1383.119999999999</v>
      </c>
      <c r="D24" s="102"/>
      <c r="E24" s="108">
        <f>24000-E22</f>
        <v>1662.8543999999965</v>
      </c>
      <c r="G24" s="129"/>
    </row>
  </sheetData>
  <mergeCells count="1">
    <mergeCell ref="A1:E1"/>
  </mergeCells>
  <phoneticPr fontId="6" type="noConversion"/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34D11-A1B9-4DBA-AEFA-E9AD20FA2D56}">
  <dimension ref="B2:I28"/>
  <sheetViews>
    <sheetView topLeftCell="A17" workbookViewId="0">
      <selection activeCell="E26" sqref="E26"/>
    </sheetView>
  </sheetViews>
  <sheetFormatPr baseColWidth="10" defaultRowHeight="16.5" x14ac:dyDescent="0.25"/>
  <cols>
    <col min="1" max="1" width="11.42578125" style="132"/>
    <col min="2" max="2" width="19.140625" style="132" bestFit="1" customWidth="1"/>
    <col min="3" max="3" width="24.7109375" style="132" bestFit="1" customWidth="1"/>
    <col min="4" max="4" width="12.140625" style="132" bestFit="1" customWidth="1"/>
    <col min="5" max="5" width="11.5703125" style="132" bestFit="1" customWidth="1"/>
    <col min="6" max="6" width="13.42578125" style="132" bestFit="1" customWidth="1"/>
    <col min="7" max="16384" width="11.42578125" style="132"/>
  </cols>
  <sheetData>
    <row r="2" spans="2:9" x14ac:dyDescent="0.25">
      <c r="B2" s="130" t="s">
        <v>165</v>
      </c>
      <c r="C2" s="131">
        <v>1462</v>
      </c>
    </row>
    <row r="3" spans="2:9" x14ac:dyDescent="0.25">
      <c r="B3" s="133" t="s">
        <v>166</v>
      </c>
      <c r="C3" s="133" t="s">
        <v>167</v>
      </c>
      <c r="D3" s="133" t="s">
        <v>168</v>
      </c>
      <c r="E3" s="133" t="s">
        <v>169</v>
      </c>
      <c r="F3" s="133" t="s">
        <v>170</v>
      </c>
      <c r="G3" s="134">
        <v>0.3</v>
      </c>
      <c r="H3" s="135">
        <v>0.20499999999999999</v>
      </c>
      <c r="I3" s="135">
        <f>1-H3</f>
        <v>0.79500000000000004</v>
      </c>
    </row>
    <row r="4" spans="2:9" x14ac:dyDescent="0.25">
      <c r="B4" s="136">
        <v>1333</v>
      </c>
      <c r="C4" s="136" t="s">
        <v>150</v>
      </c>
      <c r="D4" s="137">
        <v>43906</v>
      </c>
      <c r="E4" s="138">
        <v>2467.35</v>
      </c>
      <c r="F4" s="138">
        <f>E4-$C$2</f>
        <v>1005.3499999999999</v>
      </c>
      <c r="G4" s="138">
        <f>F4*$G$3</f>
        <v>301.60499999999996</v>
      </c>
      <c r="H4" s="138">
        <f>G4*$H$3</f>
        <v>61.829024999999987</v>
      </c>
      <c r="I4" s="138">
        <f>G4*$I$3</f>
        <v>239.77597499999999</v>
      </c>
    </row>
    <row r="5" spans="2:9" x14ac:dyDescent="0.25">
      <c r="B5" s="132">
        <v>1423</v>
      </c>
      <c r="C5" s="132" t="s">
        <v>151</v>
      </c>
      <c r="D5" s="139">
        <v>43927</v>
      </c>
      <c r="E5" s="140">
        <v>2467.35</v>
      </c>
      <c r="F5" s="140">
        <f t="shared" ref="F5:F8" si="0">E5-$C$2</f>
        <v>1005.3499999999999</v>
      </c>
      <c r="G5" s="140">
        <f t="shared" ref="G5:G8" si="1">F5*$G$3</f>
        <v>301.60499999999996</v>
      </c>
      <c r="H5" s="140">
        <f t="shared" ref="H5:H8" si="2">G5*$H$3</f>
        <v>61.829024999999987</v>
      </c>
      <c r="I5" s="140">
        <f t="shared" ref="I5:I8" si="3">G5*$I$3</f>
        <v>239.77597499999999</v>
      </c>
    </row>
    <row r="6" spans="2:9" x14ac:dyDescent="0.25">
      <c r="B6" s="132">
        <v>1452</v>
      </c>
      <c r="C6" s="132" t="s">
        <v>151</v>
      </c>
      <c r="D6" s="139">
        <v>43937</v>
      </c>
      <c r="E6" s="140">
        <v>1698.71</v>
      </c>
      <c r="F6" s="140">
        <f t="shared" si="0"/>
        <v>236.71000000000004</v>
      </c>
      <c r="G6" s="140">
        <f t="shared" si="1"/>
        <v>71.013000000000005</v>
      </c>
      <c r="H6" s="140">
        <f t="shared" si="2"/>
        <v>14.557665</v>
      </c>
      <c r="I6" s="140">
        <f t="shared" si="3"/>
        <v>56.455335000000005</v>
      </c>
    </row>
    <row r="7" spans="2:9" x14ac:dyDescent="0.25">
      <c r="B7" s="132">
        <v>1544</v>
      </c>
      <c r="C7" s="132" t="s">
        <v>152</v>
      </c>
      <c r="D7" s="139">
        <v>43956</v>
      </c>
      <c r="E7" s="140">
        <v>2382.81</v>
      </c>
      <c r="F7" s="140">
        <f t="shared" si="0"/>
        <v>920.81</v>
      </c>
      <c r="G7" s="140">
        <f t="shared" si="1"/>
        <v>276.24299999999999</v>
      </c>
      <c r="H7" s="140">
        <f t="shared" si="2"/>
        <v>56.629814999999994</v>
      </c>
      <c r="I7" s="140">
        <f t="shared" si="3"/>
        <v>219.61318500000002</v>
      </c>
    </row>
    <row r="8" spans="2:9" x14ac:dyDescent="0.25">
      <c r="B8" s="132">
        <v>1680</v>
      </c>
      <c r="C8" s="132" t="s">
        <v>153</v>
      </c>
      <c r="D8" s="139">
        <v>43993</v>
      </c>
      <c r="E8" s="140">
        <v>2244.71</v>
      </c>
      <c r="F8" s="140">
        <f t="shared" si="0"/>
        <v>782.71</v>
      </c>
      <c r="G8" s="140">
        <f t="shared" si="1"/>
        <v>234.81299999999999</v>
      </c>
      <c r="H8" s="140">
        <f t="shared" si="2"/>
        <v>48.136664999999994</v>
      </c>
      <c r="I8" s="140">
        <f t="shared" si="3"/>
        <v>186.67633499999999</v>
      </c>
    </row>
    <row r="11" spans="2:9" x14ac:dyDescent="0.25">
      <c r="G11" s="130" t="s">
        <v>171</v>
      </c>
      <c r="H11" s="131">
        <f>SUM(H5:H8)</f>
        <v>181.15316999999999</v>
      </c>
      <c r="I11" s="131">
        <f>SUM(I5:I8)</f>
        <v>702.52083000000005</v>
      </c>
    </row>
    <row r="15" spans="2:9" x14ac:dyDescent="0.25">
      <c r="B15" s="130" t="s">
        <v>165</v>
      </c>
      <c r="C15" s="131">
        <v>1462</v>
      </c>
    </row>
    <row r="16" spans="2:9" x14ac:dyDescent="0.25">
      <c r="B16" s="133" t="s">
        <v>166</v>
      </c>
      <c r="C16" s="133" t="s">
        <v>167</v>
      </c>
      <c r="D16" s="133" t="s">
        <v>168</v>
      </c>
      <c r="E16" s="133" t="s">
        <v>169</v>
      </c>
      <c r="F16" s="133" t="s">
        <v>170</v>
      </c>
      <c r="G16" s="134">
        <v>0.3</v>
      </c>
      <c r="H16" s="135">
        <v>0.20499999999999999</v>
      </c>
      <c r="I16" s="135">
        <f>1-H16</f>
        <v>0.79500000000000004</v>
      </c>
    </row>
    <row r="17" spans="2:9" x14ac:dyDescent="0.25">
      <c r="B17" s="132">
        <v>1832</v>
      </c>
      <c r="C17" s="132" t="s">
        <v>154</v>
      </c>
      <c r="D17" s="139">
        <v>44021</v>
      </c>
      <c r="E17" s="140">
        <f>'Relacion Facturacion'!C13</f>
        <v>1621.81</v>
      </c>
      <c r="F17" s="140">
        <f>E17-$C$2</f>
        <v>159.80999999999995</v>
      </c>
      <c r="G17" s="140">
        <f t="shared" ref="G17" si="4">F17*$G$3</f>
        <v>47.942999999999984</v>
      </c>
      <c r="H17" s="140">
        <f t="shared" ref="H17" si="5">G17*$H$3</f>
        <v>9.8283149999999964</v>
      </c>
      <c r="I17" s="140">
        <f t="shared" ref="I17" si="6">G17*$I$3</f>
        <v>38.114684999999987</v>
      </c>
    </row>
    <row r="20" spans="2:9" x14ac:dyDescent="0.25">
      <c r="G20" s="130" t="s">
        <v>171</v>
      </c>
      <c r="H20" s="131">
        <f>SUM(H17)</f>
        <v>9.8283149999999964</v>
      </c>
      <c r="I20" s="131">
        <f>SUM(I17)</f>
        <v>38.114684999999987</v>
      </c>
    </row>
    <row r="23" spans="2:9" x14ac:dyDescent="0.25">
      <c r="B23" s="130" t="s">
        <v>165</v>
      </c>
      <c r="C23" s="131">
        <v>1462</v>
      </c>
    </row>
    <row r="24" spans="2:9" x14ac:dyDescent="0.25">
      <c r="B24" s="133" t="s">
        <v>166</v>
      </c>
      <c r="C24" s="133" t="s">
        <v>167</v>
      </c>
      <c r="D24" s="133" t="s">
        <v>168</v>
      </c>
      <c r="E24" s="133" t="s">
        <v>169</v>
      </c>
      <c r="F24" s="133" t="s">
        <v>170</v>
      </c>
      <c r="G24" s="134">
        <v>0.3</v>
      </c>
      <c r="H24" s="135">
        <v>0.20499999999999999</v>
      </c>
      <c r="I24" s="135">
        <f>1-H24</f>
        <v>0.79500000000000004</v>
      </c>
    </row>
    <row r="25" spans="2:9" x14ac:dyDescent="0.25">
      <c r="B25" s="132">
        <v>1832</v>
      </c>
      <c r="C25" s="132" t="s">
        <v>155</v>
      </c>
      <c r="D25" s="139">
        <v>44045</v>
      </c>
      <c r="E25" s="140">
        <v>1607.09</v>
      </c>
      <c r="F25" s="140">
        <f>E25-$C$2</f>
        <v>145.08999999999992</v>
      </c>
      <c r="G25" s="140">
        <f t="shared" ref="G25" si="7">F25*$G$3</f>
        <v>43.526999999999973</v>
      </c>
      <c r="H25" s="140">
        <f t="shared" ref="H25" si="8">G25*$H$3</f>
        <v>8.9230349999999934</v>
      </c>
      <c r="I25" s="140">
        <f t="shared" ref="I25" si="9">G25*$I$3</f>
        <v>34.603964999999981</v>
      </c>
    </row>
    <row r="28" spans="2:9" x14ac:dyDescent="0.25">
      <c r="G28" s="130" t="s">
        <v>171</v>
      </c>
      <c r="H28" s="131">
        <f>SUM(H25)</f>
        <v>8.9230349999999934</v>
      </c>
      <c r="I28" s="131">
        <f>SUM(I25)</f>
        <v>34.603964999999981</v>
      </c>
    </row>
  </sheetData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B5EC1-D3C2-4111-83DB-933273B03EF5}">
  <dimension ref="C2:E20"/>
  <sheetViews>
    <sheetView workbookViewId="0">
      <selection activeCell="C5" sqref="C5"/>
    </sheetView>
  </sheetViews>
  <sheetFormatPr baseColWidth="10" defaultRowHeight="15" x14ac:dyDescent="0.25"/>
  <cols>
    <col min="3" max="3" width="22.42578125" bestFit="1" customWidth="1"/>
    <col min="4" max="4" width="14.85546875" bestFit="1" customWidth="1"/>
    <col min="5" max="5" width="11" bestFit="1" customWidth="1"/>
  </cols>
  <sheetData>
    <row r="2" spans="3:5" x14ac:dyDescent="0.25">
      <c r="C2" s="167" t="s">
        <v>8</v>
      </c>
      <c r="D2" s="167"/>
      <c r="E2" s="18">
        <f>'Ecuaquimica Destrucción'!C4</f>
        <v>3208.92</v>
      </c>
    </row>
    <row r="4" spans="3:5" x14ac:dyDescent="0.25">
      <c r="C4" s="7" t="s">
        <v>0</v>
      </c>
      <c r="D4" s="7" t="s">
        <v>1</v>
      </c>
      <c r="E4" s="7" t="s">
        <v>2</v>
      </c>
    </row>
    <row r="5" spans="3:5" x14ac:dyDescent="0.25">
      <c r="C5" s="2">
        <f>'Ecuaquimica Destrucción'!J8</f>
        <v>2431</v>
      </c>
      <c r="D5" s="3">
        <f>'Ecuaquimica Destrucción'!K8</f>
        <v>1.32</v>
      </c>
      <c r="E5" s="3">
        <f>D5*C5</f>
        <v>3208.92</v>
      </c>
    </row>
    <row r="7" spans="3:5" x14ac:dyDescent="0.25">
      <c r="C7" s="165" t="s">
        <v>56</v>
      </c>
      <c r="D7" s="165"/>
      <c r="E7" s="2">
        <v>3</v>
      </c>
    </row>
    <row r="8" spans="3:5" x14ac:dyDescent="0.25">
      <c r="C8" s="166" t="s">
        <v>36</v>
      </c>
      <c r="D8" s="166"/>
      <c r="E8" s="5">
        <f>E5/E7</f>
        <v>1069.6400000000001</v>
      </c>
    </row>
    <row r="9" spans="3:5" x14ac:dyDescent="0.25">
      <c r="C9" s="166" t="s">
        <v>3</v>
      </c>
      <c r="D9" s="166"/>
      <c r="E9" s="8">
        <f>C5/E7</f>
        <v>810.33333333333337</v>
      </c>
    </row>
    <row r="12" spans="3:5" x14ac:dyDescent="0.25">
      <c r="C12" s="166" t="s">
        <v>55</v>
      </c>
      <c r="D12" s="166"/>
      <c r="E12" s="166"/>
    </row>
    <row r="13" spans="3:5" x14ac:dyDescent="0.25">
      <c r="C13" s="9" t="s">
        <v>6</v>
      </c>
      <c r="D13" s="7" t="s">
        <v>1</v>
      </c>
      <c r="E13" s="7" t="s">
        <v>2</v>
      </c>
    </row>
    <row r="14" spans="3:5" x14ac:dyDescent="0.25">
      <c r="C14" s="4" t="s">
        <v>23</v>
      </c>
      <c r="D14" s="55">
        <v>0.60160000000000002</v>
      </c>
      <c r="E14" s="5">
        <f>E9*D14</f>
        <v>487.49653333333339</v>
      </c>
    </row>
    <row r="15" spans="3:5" x14ac:dyDescent="0.25">
      <c r="D15" s="9" t="s">
        <v>2</v>
      </c>
      <c r="E15" s="19">
        <f>SUM(E14)</f>
        <v>487.49653333333339</v>
      </c>
    </row>
    <row r="17" spans="3:5" x14ac:dyDescent="0.25">
      <c r="D17" s="9" t="s">
        <v>11</v>
      </c>
      <c r="E17" s="19">
        <f>E5-E15</f>
        <v>2721.4234666666666</v>
      </c>
    </row>
    <row r="18" spans="3:5" x14ac:dyDescent="0.25">
      <c r="E18" s="1"/>
    </row>
    <row r="19" spans="3:5" x14ac:dyDescent="0.25">
      <c r="C19" s="9" t="s">
        <v>37</v>
      </c>
      <c r="D19" s="8">
        <v>1200</v>
      </c>
      <c r="E19" s="49"/>
    </row>
    <row r="20" spans="3:5" x14ac:dyDescent="0.25">
      <c r="C20" s="9" t="s">
        <v>38</v>
      </c>
      <c r="D20" s="5">
        <f>D19*D14</f>
        <v>721.92000000000007</v>
      </c>
    </row>
  </sheetData>
  <mergeCells count="5">
    <mergeCell ref="C7:D7"/>
    <mergeCell ref="C8:D8"/>
    <mergeCell ref="C9:D9"/>
    <mergeCell ref="C12:E12"/>
    <mergeCell ref="C2:D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E19A9-258B-4292-A2F5-9917BBBDAAFD}">
  <dimension ref="B2:O21"/>
  <sheetViews>
    <sheetView topLeftCell="B1" workbookViewId="0">
      <selection activeCell="K7" sqref="K7"/>
    </sheetView>
  </sheetViews>
  <sheetFormatPr baseColWidth="10" defaultColWidth="8.85546875" defaultRowHeight="15" x14ac:dyDescent="0.25"/>
  <cols>
    <col min="2" max="2" width="32.140625" bestFit="1" customWidth="1"/>
    <col min="3" max="3" width="17.140625" bestFit="1" customWidth="1"/>
    <col min="4" max="4" width="11.140625" bestFit="1" customWidth="1"/>
    <col min="5" max="5" width="11.42578125" bestFit="1" customWidth="1"/>
    <col min="6" max="6" width="11.140625" bestFit="1" customWidth="1"/>
    <col min="7" max="7" width="15.28515625" bestFit="1" customWidth="1"/>
    <col min="9" max="9" width="22" bestFit="1" customWidth="1"/>
    <col min="12" max="12" width="10" bestFit="1" customWidth="1"/>
    <col min="14" max="14" width="11.5703125" bestFit="1" customWidth="1"/>
    <col min="15" max="15" width="10.5703125" bestFit="1" customWidth="1"/>
  </cols>
  <sheetData>
    <row r="2" spans="2:15" x14ac:dyDescent="0.25">
      <c r="B2" s="27" t="s">
        <v>12</v>
      </c>
      <c r="C2" s="27" t="s">
        <v>58</v>
      </c>
    </row>
    <row r="3" spans="2:15" x14ac:dyDescent="0.25">
      <c r="B3" s="28" t="s">
        <v>13</v>
      </c>
      <c r="C3" s="29" t="s">
        <v>14</v>
      </c>
      <c r="D3" s="29" t="s">
        <v>15</v>
      </c>
      <c r="E3" s="29" t="s">
        <v>2</v>
      </c>
      <c r="J3" s="26" t="s">
        <v>16</v>
      </c>
      <c r="K3" s="26" t="s">
        <v>17</v>
      </c>
      <c r="L3" s="26" t="s">
        <v>18</v>
      </c>
      <c r="M3" s="26" t="s">
        <v>19</v>
      </c>
      <c r="N3" s="26" t="s">
        <v>5</v>
      </c>
      <c r="O3" s="26" t="s">
        <v>20</v>
      </c>
    </row>
    <row r="4" spans="2:15" x14ac:dyDescent="0.25">
      <c r="B4" s="30" t="s">
        <v>21</v>
      </c>
      <c r="C4" s="31">
        <f>(J4*K4)+(J5*K5)+(J6*K6)+(J7*K7)+(J8*K8)</f>
        <v>3208.92</v>
      </c>
      <c r="D4" s="32">
        <f>O10/C4</f>
        <v>0.25454545454545457</v>
      </c>
      <c r="E4" s="31">
        <f>O10</f>
        <v>816.81600000000003</v>
      </c>
      <c r="I4" s="33" t="s">
        <v>22</v>
      </c>
      <c r="J4" s="2">
        <v>0</v>
      </c>
      <c r="K4" s="34">
        <v>1.92</v>
      </c>
      <c r="L4" s="31">
        <v>1.0900000000000001</v>
      </c>
      <c r="M4" s="31">
        <f>K4-L4</f>
        <v>0.82999999999999985</v>
      </c>
      <c r="N4" s="31">
        <f>J4*M4</f>
        <v>0</v>
      </c>
      <c r="O4" s="31">
        <f>N4*30%</f>
        <v>0</v>
      </c>
    </row>
    <row r="5" spans="2:15" x14ac:dyDescent="0.25">
      <c r="B5" s="30" t="s">
        <v>23</v>
      </c>
      <c r="C5" s="31">
        <f>L9</f>
        <v>0</v>
      </c>
      <c r="D5" s="32">
        <v>1</v>
      </c>
      <c r="E5" s="31">
        <f>C5*D5</f>
        <v>0</v>
      </c>
      <c r="I5" s="33" t="s">
        <v>10</v>
      </c>
      <c r="J5" s="2">
        <v>0</v>
      </c>
      <c r="K5" s="34">
        <v>1.86</v>
      </c>
      <c r="L5" s="31">
        <v>0.7</v>
      </c>
      <c r="M5" s="31">
        <f>K5-L5</f>
        <v>1.1600000000000001</v>
      </c>
      <c r="N5" s="31">
        <f>J5*M5</f>
        <v>0</v>
      </c>
      <c r="O5" s="31">
        <f>N5*30%</f>
        <v>0</v>
      </c>
    </row>
    <row r="6" spans="2:15" x14ac:dyDescent="0.25">
      <c r="I6" s="33" t="s">
        <v>24</v>
      </c>
      <c r="J6" s="2">
        <v>0</v>
      </c>
      <c r="K6" s="34">
        <v>0.25</v>
      </c>
      <c r="L6" s="31">
        <v>0.13</v>
      </c>
      <c r="M6" s="31">
        <f>K6-L6</f>
        <v>0.12</v>
      </c>
      <c r="N6" s="31">
        <f>J6*M6</f>
        <v>0</v>
      </c>
      <c r="O6" s="31">
        <f>N6*30%</f>
        <v>0</v>
      </c>
    </row>
    <row r="7" spans="2:15" x14ac:dyDescent="0.25">
      <c r="D7" s="35" t="s">
        <v>2</v>
      </c>
      <c r="E7" s="36">
        <f>E4+E5</f>
        <v>816.81600000000003</v>
      </c>
      <c r="I7" s="33" t="s">
        <v>7</v>
      </c>
      <c r="J7" s="2">
        <v>0</v>
      </c>
      <c r="K7" s="34">
        <v>0.44</v>
      </c>
      <c r="L7" s="31">
        <v>0.28000000000000003</v>
      </c>
      <c r="M7" s="31">
        <f>K7-L7</f>
        <v>0.15999999999999998</v>
      </c>
      <c r="N7" s="31">
        <f>J7*M7</f>
        <v>0</v>
      </c>
      <c r="O7" s="31">
        <f>N7*30%</f>
        <v>0</v>
      </c>
    </row>
    <row r="8" spans="2:15" x14ac:dyDescent="0.25">
      <c r="I8" s="33" t="s">
        <v>25</v>
      </c>
      <c r="J8" s="2">
        <v>2431</v>
      </c>
      <c r="K8" s="34">
        <v>1.32</v>
      </c>
      <c r="L8" s="31">
        <v>0.2</v>
      </c>
      <c r="M8" s="31">
        <f>K8-L8</f>
        <v>1.1200000000000001</v>
      </c>
      <c r="N8" s="31">
        <f>J8*M8</f>
        <v>2722.7200000000003</v>
      </c>
      <c r="O8" s="31">
        <f>N8*30%</f>
        <v>816.81600000000003</v>
      </c>
    </row>
    <row r="9" spans="2:15" x14ac:dyDescent="0.25">
      <c r="D9" s="35" t="s">
        <v>26</v>
      </c>
      <c r="E9" s="35" t="s">
        <v>4</v>
      </c>
      <c r="F9" s="37" t="s">
        <v>2</v>
      </c>
      <c r="I9" s="33" t="s">
        <v>23</v>
      </c>
      <c r="J9" s="2">
        <v>0</v>
      </c>
      <c r="K9" s="56">
        <v>0.60160000000000002</v>
      </c>
      <c r="L9" s="5">
        <f>K9*J9</f>
        <v>0</v>
      </c>
      <c r="O9" s="38"/>
    </row>
    <row r="10" spans="2:15" x14ac:dyDescent="0.25">
      <c r="B10" s="35" t="s">
        <v>35</v>
      </c>
      <c r="C10" s="39">
        <v>0.25</v>
      </c>
      <c r="D10" s="36">
        <f>C10*E4</f>
        <v>204.20400000000001</v>
      </c>
      <c r="E10" s="36">
        <f>E5*C10</f>
        <v>0</v>
      </c>
      <c r="F10" s="40">
        <f>D10+E10</f>
        <v>204.20400000000001</v>
      </c>
      <c r="O10" s="16">
        <f>SUM(O4:O9)</f>
        <v>816.81600000000003</v>
      </c>
    </row>
    <row r="11" spans="2:15" x14ac:dyDescent="0.25">
      <c r="B11" s="35" t="s">
        <v>27</v>
      </c>
      <c r="C11" s="39">
        <f>100%-C10</f>
        <v>0.75</v>
      </c>
      <c r="D11" s="36">
        <f>C11*E4</f>
        <v>612.61200000000008</v>
      </c>
      <c r="E11" s="36">
        <f>E5*C11</f>
        <v>0</v>
      </c>
      <c r="F11" s="40">
        <f>D11+E11</f>
        <v>612.61200000000008</v>
      </c>
    </row>
    <row r="13" spans="2:15" x14ac:dyDescent="0.25">
      <c r="B13" s="168" t="s">
        <v>28</v>
      </c>
      <c r="C13" s="169"/>
      <c r="D13" s="41" t="s">
        <v>29</v>
      </c>
      <c r="E13" s="41" t="s">
        <v>30</v>
      </c>
    </row>
    <row r="14" spans="2:15" x14ac:dyDescent="0.25">
      <c r="B14" s="170"/>
      <c r="C14" s="171"/>
      <c r="D14" s="42">
        <v>0.5</v>
      </c>
      <c r="E14" s="42">
        <f>100%-D14</f>
        <v>0.5</v>
      </c>
    </row>
    <row r="15" spans="2:15" x14ac:dyDescent="0.25">
      <c r="B15" s="30" t="s">
        <v>31</v>
      </c>
      <c r="C15" s="43">
        <f>D10</f>
        <v>204.20400000000001</v>
      </c>
      <c r="D15" s="44">
        <f>D14*C15</f>
        <v>102.102</v>
      </c>
      <c r="E15" s="44">
        <f>C15*E14</f>
        <v>102.102</v>
      </c>
    </row>
    <row r="16" spans="2:15" x14ac:dyDescent="0.25">
      <c r="B16" s="30" t="s">
        <v>32</v>
      </c>
      <c r="C16" s="43">
        <f>D11</f>
        <v>612.61200000000008</v>
      </c>
      <c r="D16" s="31">
        <f>D14*C16</f>
        <v>306.30600000000004</v>
      </c>
      <c r="E16" s="31">
        <f>C16*E14</f>
        <v>306.30600000000004</v>
      </c>
    </row>
    <row r="18" spans="2:4" x14ac:dyDescent="0.25">
      <c r="B18" s="168" t="s">
        <v>33</v>
      </c>
      <c r="C18" s="169"/>
    </row>
    <row r="19" spans="2:4" x14ac:dyDescent="0.25">
      <c r="B19" s="170"/>
      <c r="C19" s="171"/>
      <c r="D19" s="41" t="s">
        <v>34</v>
      </c>
    </row>
    <row r="20" spans="2:4" x14ac:dyDescent="0.25">
      <c r="B20" s="30" t="s">
        <v>31</v>
      </c>
      <c r="C20" s="43">
        <f>E10</f>
        <v>0</v>
      </c>
      <c r="D20" s="40">
        <f>E15+C20</f>
        <v>102.102</v>
      </c>
    </row>
    <row r="21" spans="2:4" x14ac:dyDescent="0.25">
      <c r="B21" s="30" t="s">
        <v>32</v>
      </c>
      <c r="C21" s="43">
        <f>E11</f>
        <v>0</v>
      </c>
      <c r="D21" s="40">
        <f>E16+C21</f>
        <v>306.30600000000004</v>
      </c>
    </row>
  </sheetData>
  <mergeCells count="2">
    <mergeCell ref="B13:C14"/>
    <mergeCell ref="B18:C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Flujo</vt:lpstr>
      <vt:lpstr>Facturación</vt:lpstr>
      <vt:lpstr>Facturación vs. Flujo</vt:lpstr>
      <vt:lpstr>Relacion Facturacion</vt:lpstr>
      <vt:lpstr>Comision Ecuaquímica</vt:lpstr>
      <vt:lpstr>Analisis de Costos</vt:lpstr>
      <vt:lpstr>Ecuaquimica Destrucción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JefeComercial</dc:creator>
  <cp:lastModifiedBy>JefeComercial</cp:lastModifiedBy>
  <cp:lastPrinted>2019-09-11T18:16:24Z</cp:lastPrinted>
  <dcterms:created xsi:type="dcterms:W3CDTF">2019-04-09T12:51:15Z</dcterms:created>
  <dcterms:modified xsi:type="dcterms:W3CDTF">2020-12-07T17:37:33Z</dcterms:modified>
</cp:coreProperties>
</file>