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EF Campus Internacional de Idiomas/"/>
    </mc:Choice>
  </mc:AlternateContent>
  <xr:revisionPtr revIDLastSave="49" documentId="8_{F074E2FA-893B-4B93-BDF4-4F13700271DD}" xr6:coauthVersionLast="40" xr6:coauthVersionMax="40" xr10:uidLastSave="{3A18FC32-05A6-49D6-B234-F8CF1E76A647}"/>
  <bookViews>
    <workbookView xWindow="0" yWindow="0" windowWidth="19200" windowHeight="7935" tabRatio="775" xr2:uid="{00000000-000D-0000-FFFF-FFFF00000000}"/>
  </bookViews>
  <sheets>
    <sheet name="Ordenamiento Normal 1" sheetId="4" r:id="rId1"/>
    <sheet name="Cuadro para Oferta" sheetId="15" r:id="rId2"/>
    <sheet name="QUITO" sheetId="13" r:id="rId3"/>
    <sheet name="GYE" sheetId="14" state="hidden" r:id="rId4"/>
    <sheet name="Amortizacion de cajas" sheetId="9" r:id="rId5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" i="4" l="1"/>
  <c r="L65" i="4"/>
  <c r="L86" i="4"/>
  <c r="K67" i="4"/>
  <c r="L67" i="4" s="1"/>
  <c r="K66" i="4"/>
  <c r="L66" i="4" s="1"/>
  <c r="K65" i="4"/>
  <c r="K49" i="4"/>
  <c r="K47" i="4"/>
  <c r="K48" i="4"/>
  <c r="P54" i="4"/>
  <c r="L69" i="4" l="1"/>
  <c r="L84" i="4" s="1"/>
  <c r="N17" i="4"/>
  <c r="E15" i="15" l="1"/>
  <c r="E18" i="15" s="1"/>
  <c r="E8" i="15"/>
  <c r="E7" i="15"/>
  <c r="E6" i="15"/>
  <c r="E5" i="15"/>
  <c r="E9" i="15" s="1"/>
  <c r="E10" i="15" l="1"/>
  <c r="E11" i="15" s="1"/>
  <c r="E20" i="15"/>
  <c r="E21" i="15" s="1"/>
  <c r="L56" i="4" l="1"/>
  <c r="M56" i="4" s="1"/>
  <c r="K58" i="4"/>
  <c r="L58" i="4" s="1"/>
  <c r="M58" i="4" s="1"/>
  <c r="K57" i="4"/>
  <c r="L57" i="4" s="1"/>
  <c r="M57" i="4" s="1"/>
  <c r="L60" i="4" l="1"/>
  <c r="L79" i="4"/>
  <c r="N79" i="4" s="1"/>
  <c r="L78" i="4"/>
  <c r="N78" i="4" s="1"/>
  <c r="L77" i="4"/>
  <c r="N77" i="4" s="1"/>
  <c r="L76" i="4"/>
  <c r="N76" i="4" s="1"/>
  <c r="L75" i="4"/>
  <c r="N75" i="4" s="1"/>
  <c r="L74" i="4" l="1"/>
  <c r="L81" i="4" s="1"/>
  <c r="L48" i="4"/>
  <c r="L49" i="4"/>
  <c r="L47" i="4" l="1"/>
  <c r="L51" i="4" s="1"/>
  <c r="N74" i="4"/>
  <c r="D17" i="4"/>
  <c r="D9" i="4" l="1"/>
  <c r="C5" i="4" l="1"/>
  <c r="R7" i="4" l="1"/>
  <c r="M18" i="4" l="1"/>
  <c r="E6" i="4"/>
  <c r="F6" i="4" s="1"/>
  <c r="R8" i="4"/>
  <c r="K12" i="4"/>
  <c r="R9" i="4"/>
  <c r="R6" i="4"/>
  <c r="R5" i="4"/>
  <c r="L18" i="4"/>
  <c r="K18" i="4"/>
  <c r="K10" i="4"/>
  <c r="E27" i="4"/>
  <c r="G27" i="4"/>
  <c r="G28" i="4" s="1"/>
  <c r="G29" i="4" s="1"/>
  <c r="G30" i="4" s="1"/>
  <c r="E4" i="14"/>
  <c r="F4" i="14"/>
  <c r="E5" i="14"/>
  <c r="F5" i="14" s="1"/>
  <c r="E6" i="14"/>
  <c r="F6" i="14" s="1"/>
  <c r="E7" i="14"/>
  <c r="F7" i="14" s="1"/>
  <c r="E8" i="14"/>
  <c r="F8" i="14"/>
  <c r="E9" i="14"/>
  <c r="F9" i="14" s="1"/>
  <c r="E10" i="14"/>
  <c r="F10" i="14"/>
  <c r="E11" i="14"/>
  <c r="F11" i="14" s="1"/>
  <c r="E12" i="14"/>
  <c r="F12" i="14" s="1"/>
  <c r="E13" i="14"/>
  <c r="F13" i="14" s="1"/>
  <c r="E14" i="14"/>
  <c r="F14" i="14" s="1"/>
  <c r="E15" i="14"/>
  <c r="F15" i="14" s="1"/>
  <c r="E16" i="14"/>
  <c r="F16" i="14"/>
  <c r="E17" i="14"/>
  <c r="F17" i="14" s="1"/>
  <c r="E18" i="14"/>
  <c r="F18" i="14" s="1"/>
  <c r="E19" i="14"/>
  <c r="F19" i="14" s="1"/>
  <c r="E20" i="14"/>
  <c r="F20" i="14"/>
  <c r="E21" i="14"/>
  <c r="F21" i="14" s="1"/>
  <c r="E22" i="14"/>
  <c r="F22" i="14" s="1"/>
  <c r="E23" i="14"/>
  <c r="F23" i="14" s="1"/>
  <c r="E3" i="14"/>
  <c r="F3" i="14" s="1"/>
  <c r="D3" i="13"/>
  <c r="E3" i="13" s="1"/>
  <c r="D4" i="13"/>
  <c r="E4" i="13" s="1"/>
  <c r="D5" i="13"/>
  <c r="E5" i="13" s="1"/>
  <c r="D6" i="13"/>
  <c r="E6" i="13" s="1"/>
  <c r="D7" i="13"/>
  <c r="E7" i="13" s="1"/>
  <c r="D8" i="13"/>
  <c r="E8" i="13" s="1"/>
  <c r="D9" i="13"/>
  <c r="E9" i="13"/>
  <c r="D10" i="13"/>
  <c r="E10" i="13" s="1"/>
  <c r="D11" i="13"/>
  <c r="E11" i="13" s="1"/>
  <c r="D12" i="13"/>
  <c r="E12" i="13" s="1"/>
  <c r="D13" i="13"/>
  <c r="E13" i="13"/>
  <c r="D14" i="13"/>
  <c r="E14" i="13" s="1"/>
  <c r="D15" i="13"/>
  <c r="E15" i="13" s="1"/>
  <c r="D16" i="13"/>
  <c r="E16" i="13" s="1"/>
  <c r="D17" i="13"/>
  <c r="E17" i="13" s="1"/>
  <c r="D18" i="13"/>
  <c r="E18" i="13" s="1"/>
  <c r="D19" i="13"/>
  <c r="E19" i="13" s="1"/>
  <c r="D20" i="13"/>
  <c r="E20" i="13" s="1"/>
  <c r="D2" i="13"/>
  <c r="E2" i="13" s="1"/>
  <c r="E9" i="4"/>
  <c r="F9" i="4" s="1"/>
  <c r="G9" i="9"/>
  <c r="N18" i="4" l="1"/>
  <c r="R10" i="4"/>
  <c r="R11" i="4" s="1"/>
  <c r="R12" i="4" l="1"/>
  <c r="K4" i="4"/>
  <c r="C7" i="4"/>
  <c r="C6" i="4"/>
  <c r="G6" i="4" s="1"/>
  <c r="C9" i="4"/>
  <c r="K9" i="4"/>
  <c r="K11" i="4" s="1"/>
  <c r="K13" i="4" s="1"/>
  <c r="K14" i="4" s="1"/>
  <c r="C16" i="4" l="1"/>
  <c r="Q19" i="4" s="1"/>
  <c r="G9" i="4"/>
  <c r="K21" i="4"/>
  <c r="K22" i="4" s="1"/>
  <c r="D8" i="4" s="1"/>
  <c r="K25" i="4"/>
  <c r="K26" i="4" s="1"/>
  <c r="D16" i="4" l="1"/>
  <c r="P24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9" i="4" l="1"/>
  <c r="G21" i="4" s="1"/>
  <c r="G22" i="4" s="1"/>
  <c r="G18" i="4"/>
  <c r="F18" i="4"/>
  <c r="D5" i="4" l="1"/>
  <c r="E5" i="4" s="1"/>
  <c r="F5" i="4" l="1"/>
  <c r="G5" i="4" s="1"/>
  <c r="G10" i="4" s="1"/>
  <c r="G11" i="4" l="1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<sst xmlns="http://schemas.openxmlformats.org/spreadsheetml/2006/main" count="299" uniqueCount="162">
  <si>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</si>
  <si>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</si>
  <si>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</si>
  <si>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</si>
  <si>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</si>
  <si>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</si>
  <si>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</si>
  <si>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</si>
  <si>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</si>
  <si>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</si>
  <si>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</si>
  <si>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</si>
  <si>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</si>
  <si>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</si>
  <si>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</si>
  <si>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</si>
  <si>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</si>
  <si>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</si>
  <si>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</si>
  <si>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</si>
  <si>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</si>
  <si>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</si>
  <si>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</si>
  <si>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</si>
  <si>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</si>
  <si>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</si>
  <si>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</si>
  <si>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</si>
  <si>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</si>
  <si>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</si>
  <si>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</si>
  <si>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</si>
  <si>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</si>
  <si>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</si>
  <si>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</si>
  <si>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</si>
  <si>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</si>
  <si>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</si>
  <si>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</si>
  <si>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</si>
  <si>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</si>
  <si>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</si>
  <si>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</si>
  <si>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</si>
  <si>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</si>
  <si>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</si>
  <si>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</si>
  <si>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</si>
  <si>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</si>
  <si>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</si>
  <si>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</si>
  <si>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</si>
  <si>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</si>
  <si>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</si>
  <si>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</si>
  <si>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</si>
  <si>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</si>
  <si>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</si>
  <si>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</si>
  <si>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</si>
  <si>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</si>
  <si>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</si>
  <si>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</si>
  <si>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</si>
  <si>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</si>
  <si>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</si>
  <si>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</si>
  <si>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</si>
  <si>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</si>
  <si>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</si>
  <si>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</si>
  <si>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</si>
  <si>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</si>
  <si>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</si>
  <si>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</si>
  <si>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</si>
  <si>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</si>
  <si>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</si>
  <si>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</si>
  <si>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</si>
  <si>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</si>
  <si>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</si>
  <si>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</si>
  <si>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</si>
  <si>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</si>
  <si>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</si>
  <si>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</si>
  <si>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</si>
  <si>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</si>
  <si>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</si>
  <si>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</si>
  <si>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</si>
  <si>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</si>
  <si>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</si>
  <si>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</si>
  <si>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</si>
  <si>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</si>
  <si>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</si>
  <si>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</si>
  <si>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</si>
  <si>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</si>
  <si>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</si>
  <si>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</si>
  <si>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</si>
  <si>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</si>
  <si>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</si>
  <si>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</si>
  <si>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</si>
  <si>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</si>
  <si>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</si>
  <si>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</si>
  <si>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</si>
  <si>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</si>
  <si>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</si>
  <si>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</si>
  <si>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</si>
  <si>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</si>
  <si>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</si>
  <si>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</si>
  <si>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</si>
  <si>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</si>
  <si>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</si>
  <si>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</si>
  <si>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</si>
  <si>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</si>
  <si>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</si>
  <si>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</si>
  <si>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</si>
  <si>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</si>
  <si>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</si>
  <si>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</si>
  <si>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</si>
  <si>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</si>
  <si>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</si>
  <si>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</si>
  <si>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</si>
  <si>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</si>
  <si>
    <t>Cant. Cajas</t>
  </si>
  <si>
    <t>File x caja</t>
  </si>
  <si>
    <t>Cajas data</t>
  </si>
  <si>
    <t>Total de Cajas Data</t>
  </si>
  <si>
    <t>Estanterias</t>
  </si>
  <si>
    <t>Niveles</t>
  </si>
  <si>
    <t>B1-C1</t>
  </si>
  <si>
    <t>Cajas por Nivel</t>
  </si>
  <si>
    <t>N° De Files x Caja</t>
  </si>
  <si>
    <t>Item</t>
  </si>
  <si>
    <t>B2-C1</t>
  </si>
  <si>
    <t>B2-C2</t>
  </si>
  <si>
    <t>B3-C1</t>
  </si>
  <si>
    <t>B4-C1</t>
  </si>
  <si>
    <t>Tipo 1</t>
  </si>
  <si>
    <t>Tipo 2</t>
  </si>
  <si>
    <t>Estanterías</t>
  </si>
  <si>
    <t>Total de Files por Nivel</t>
  </si>
  <si>
    <t>Total Files</t>
  </si>
  <si>
    <t>Cajas Data</t>
  </si>
  <si>
    <t>Tipo 3</t>
  </si>
  <si>
    <r>
      <t xml:space="preserve">Ordenamiento e Indexación File </t>
    </r>
    <r>
      <rPr>
        <b/>
        <sz val="10"/>
        <color rgb="FF000000"/>
        <rFont val="Calibri"/>
        <family val="2"/>
        <scheme val="minor"/>
      </rPr>
      <t>(Opcional)</t>
    </r>
  </si>
  <si>
    <t>Tipo 4</t>
  </si>
  <si>
    <t xml:space="preserve">Ordenamiento y Encaje </t>
  </si>
  <si>
    <t xml:space="preserve"> Indexación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</si>
</sst>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 [$$-2C0A]\ * #,##0.00_ ;_ [$$-2C0A]\ * \-#,##0.00_ ;_ [$$-2C0A]\ * &quot;-&quot;??_ ;_ @_ "/>
    <numFmt numFmtId="168" formatCode="_-[$$-2C0A]\ * #,##0.00_-;\-[$$-2C0A]\ * #,##0.00_-;_-[$$-2C0A]\ * &quot;-&quot;??_-;_-@_-"/>
    <numFmt numFmtId="169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6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16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16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16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16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7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7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7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164" fontId="11" fillId="0" borderId="17" xfId="0" applyNumberFormat="1" applyFont="1" applyBorder="1"/>
    <xf numFmtId="16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164" fontId="9" fillId="4" borderId="15" xfId="0" applyNumberFormat="1" applyFont="1" applyFill="1" applyBorder="1" applyAlignment="1">
      <alignment horizontal="center"/>
    </xf>
    <xf numFmtId="16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164" fontId="9" fillId="4" borderId="0" xfId="0" applyNumberFormat="1" applyFont="1" applyFill="1" applyBorder="1" applyAlignment="1">
      <alignment horizontal="center"/>
    </xf>
    <xf numFmtId="16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164" fontId="9" fillId="4" borderId="6" xfId="0" applyNumberFormat="1" applyFont="1" applyFill="1" applyBorder="1" applyAlignment="1">
      <alignment horizontal="center"/>
    </xf>
    <xf numFmtId="16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16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164" fontId="9" fillId="4" borderId="15" xfId="0" applyNumberFormat="1" applyFont="1" applyFill="1" applyBorder="1" applyAlignment="1">
      <alignment horizontal="center" vertical="top"/>
    </xf>
    <xf numFmtId="16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16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16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169" fontId="3" fillId="0" borderId="10" xfId="1" applyNumberFormat="1" applyFont="1" applyBorder="1" applyAlignment="1">
      <alignment horizontal="right"/>
    </xf>
    <xf numFmtId="167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7" fontId="14" fillId="0" borderId="17" xfId="0" applyNumberFormat="1" applyFont="1" applyFill="1" applyBorder="1"/>
    <xf numFmtId="167" fontId="15" fillId="11" borderId="7" xfId="0" applyNumberFormat="1" applyFont="1" applyFill="1" applyBorder="1"/>
    <xf numFmtId="168" fontId="15" fillId="5" borderId="17" xfId="0" applyNumberFormat="1" applyFont="1" applyFill="1" applyBorder="1"/>
    <xf numFmtId="1" fontId="23" fillId="0" borderId="17" xfId="0" applyNumberFormat="1" applyFont="1" applyFill="1" applyBorder="1"/>
    <xf numFmtId="1" fontId="9" fillId="4" borderId="15" xfId="0" applyNumberFormat="1" applyFont="1" applyFill="1" applyBorder="1" applyAlignment="1">
      <alignment horizontal="center" vertical="top"/>
    </xf>
    <xf numFmtId="1" fontId="9" fillId="4" borderId="15" xfId="0" applyNumberFormat="1" applyFont="1" applyFill="1" applyBorder="1" applyAlignment="1">
      <alignment horizontal="center"/>
    </xf>
    <xf numFmtId="1" fontId="9" fillId="4" borderId="0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11" fillId="9" borderId="17" xfId="0" applyNumberFormat="1" applyFont="1" applyFill="1" applyBorder="1"/>
    <xf numFmtId="0" fontId="23" fillId="2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" fontId="23" fillId="2" borderId="10" xfId="0" applyNumberFormat="1" applyFont="1" applyFill="1" applyBorder="1" applyAlignment="1">
      <alignment horizontal="center" vertical="center"/>
    </xf>
    <xf numFmtId="1" fontId="11" fillId="0" borderId="17" xfId="0" applyNumberFormat="1" applyFont="1" applyBorder="1"/>
    <xf numFmtId="0" fontId="11" fillId="0" borderId="10" xfId="0" applyFont="1" applyBorder="1"/>
    <xf numFmtId="0" fontId="23" fillId="0" borderId="10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23" fillId="0" borderId="10" xfId="0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center" vertical="center"/>
    </xf>
    <xf numFmtId="0" fontId="23" fillId="2" borderId="17" xfId="0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  <xf numFmtId="164" fontId="9" fillId="4" borderId="6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164" fontId="9" fillId="4" borderId="7" xfId="0" applyNumberFormat="1" applyFont="1" applyFill="1" applyBorder="1" applyAlignment="1">
      <alignment horizontal="center" vertic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86"/>
  <sheetViews>
    <sheetView tabSelected="1" zoomScale="80" zoomScaleNormal="80" workbookViewId="0">
      <selection activeCell="B25" sqref="B25:G30"/>
    </sheetView>
  </sheetViews>
  <sheetFormatPr baseColWidth="10" defaultColWidth="10.85546875" defaultRowHeight="12.75" x14ac:dyDescent="0.2"/>
  <cols>
    <col min="1" max="1" width="10.85546875" style="56"/>
    <col min="2" max="2" width="47.42578125" style="56" bestFit="1" customWidth="1"/>
    <col min="3" max="3" width="8.85546875" style="56" bestFit="1" customWidth="1"/>
    <col min="4" max="4" width="11.5703125" style="56" hidden="1" customWidth="1"/>
    <col min="5" max="5" width="17.28515625" style="56" hidden="1" customWidth="1"/>
    <col min="6" max="6" width="13.28515625" style="56" bestFit="1" customWidth="1"/>
    <col min="7" max="7" width="11.140625" style="56" bestFit="1" customWidth="1"/>
    <col min="8" max="8" width="5.140625" style="56" bestFit="1" customWidth="1"/>
    <col min="9" max="9" width="10.85546875" style="56"/>
    <col min="10" max="10" width="24.140625" style="56" customWidth="1"/>
    <col min="11" max="11" width="19.28515625" style="56" customWidth="1"/>
    <col min="12" max="12" width="11.5703125" style="56" bestFit="1" customWidth="1"/>
    <col min="13" max="13" width="14" style="56" bestFit="1" customWidth="1"/>
    <col min="14" max="14" width="10.85546875" style="56" bestFit="1" customWidth="1"/>
    <col min="15" max="15" width="10.85546875" style="56"/>
    <col min="16" max="16" width="22.140625" style="56" customWidth="1"/>
    <col min="17" max="17" width="8.140625" style="57" bestFit="1" customWidth="1"/>
    <col min="18" max="18" width="10.7109375" style="56" bestFit="1" customWidth="1"/>
    <col min="19" max="16384" width="10.85546875" style="56"/>
  </cols>
  <sheetData>
    <row r="2" spans="2:18" ht="13.5" thickBot="1" x14ac:dyDescent="0.25"/>
    <row r="3" spans="2:18" ht="15.75" thickBot="1" x14ac:dyDescent="0.3">
      <c r="B3" s="149" t="s">
        <v>80</v>
      </c>
      <c r="C3" s="150"/>
      <c r="D3" s="150"/>
      <c r="E3" s="150"/>
      <c r="F3" s="150"/>
      <c r="G3" s="151"/>
      <c r="J3" s="58" t="s">
        <v>87</v>
      </c>
      <c r="K3" s="139">
        <v>55</v>
      </c>
      <c r="P3" s="142" t="s">
        <v>100</v>
      </c>
      <c r="Q3" s="143"/>
      <c r="R3" s="144"/>
    </row>
    <row r="4" spans="2:18" ht="15" customHeight="1" thickBot="1" x14ac:dyDescent="0.3">
      <c r="B4" s="60" t="s">
        <v>0</v>
      </c>
      <c r="C4" s="61" t="s">
        <v>6</v>
      </c>
      <c r="D4" s="61" t="s">
        <v>1</v>
      </c>
      <c r="E4" s="62">
        <v>0.6</v>
      </c>
      <c r="F4" s="62" t="s">
        <v>121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5" t="s">
        <v>101</v>
      </c>
      <c r="Q4" s="146"/>
      <c r="R4" s="114">
        <v>386</v>
      </c>
    </row>
    <row r="5" spans="2:18" ht="13.5" thickBot="1" x14ac:dyDescent="0.25">
      <c r="B5" s="66" t="s">
        <v>97</v>
      </c>
      <c r="C5" s="121">
        <f>K17+L17+M17+N17</f>
        <v>235.4</v>
      </c>
      <c r="D5" s="67">
        <f>Q17</f>
        <v>1.1000000000000001</v>
      </c>
      <c r="E5" s="67">
        <f>D5*$E$4</f>
        <v>0.66</v>
      </c>
      <c r="F5" s="67">
        <f>D5+E5</f>
        <v>1.7600000000000002</v>
      </c>
      <c r="G5" s="68">
        <f>F5*C5</f>
        <v>414.30400000000009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25">
      <c r="B6" s="69" t="s">
        <v>160</v>
      </c>
      <c r="C6" s="122">
        <f>C5</f>
        <v>235.4</v>
      </c>
      <c r="D6" s="70">
        <v>1</v>
      </c>
      <c r="E6" s="70">
        <f>D6*$E$4</f>
        <v>0.6</v>
      </c>
      <c r="F6" s="70">
        <f>D6+E6</f>
        <v>1.6</v>
      </c>
      <c r="G6" s="71">
        <f>F6*C6</f>
        <v>376.64000000000004</v>
      </c>
      <c r="J6" s="111"/>
      <c r="K6" s="110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25">
      <c r="B7" s="69" t="s">
        <v>161</v>
      </c>
      <c r="C7" s="122">
        <f>K18+L18+M18+N18</f>
        <v>1348.7333333333333</v>
      </c>
      <c r="D7" s="70">
        <v>0.16</v>
      </c>
      <c r="E7" s="70">
        <f>D7*$E$4</f>
        <v>9.6000000000000002E-2</v>
      </c>
      <c r="F7" s="70">
        <f>D7+E7</f>
        <v>0.25600000000000001</v>
      </c>
      <c r="G7" s="71">
        <f>F7*C7</f>
        <v>345.27573333333333</v>
      </c>
      <c r="J7" s="111"/>
      <c r="K7" s="110"/>
      <c r="P7" s="44" t="s">
        <v>104</v>
      </c>
      <c r="Q7" s="45">
        <v>24</v>
      </c>
      <c r="R7" s="46">
        <f>(($R$4*Q6)/Q7)/12</f>
        <v>16.083333333333332</v>
      </c>
    </row>
    <row r="8" spans="2:18" ht="13.5" hidden="1" thickBot="1" x14ac:dyDescent="0.25">
      <c r="B8" s="69" t="s">
        <v>96</v>
      </c>
      <c r="C8" s="122">
        <v>0</v>
      </c>
      <c r="D8" s="70">
        <f>K21+K22</f>
        <v>1.3897325757575758</v>
      </c>
      <c r="E8" s="70">
        <f t="shared" ref="E8:E9" si="0">D8*$E$4</f>
        <v>0.83383954545454542</v>
      </c>
      <c r="F8" s="70">
        <f t="shared" ref="F8:F9" si="1">D8+E8</f>
        <v>2.2235721212121211</v>
      </c>
      <c r="G8" s="71">
        <f t="shared" ref="G8:G9" si="2">F8*C8</f>
        <v>0</v>
      </c>
      <c r="J8" s="72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25">
      <c r="B9" s="73" t="s">
        <v>40</v>
      </c>
      <c r="C9" s="123">
        <f>C5</f>
        <v>235.4</v>
      </c>
      <c r="D9" s="75">
        <f>Q18</f>
        <v>0.6</v>
      </c>
      <c r="E9" s="75">
        <f t="shared" si="0"/>
        <v>0.36</v>
      </c>
      <c r="F9" s="75">
        <f t="shared" si="1"/>
        <v>0.96</v>
      </c>
      <c r="G9" s="76">
        <f t="shared" si="2"/>
        <v>225.98400000000001</v>
      </c>
      <c r="J9" s="58" t="s">
        <v>91</v>
      </c>
      <c r="K9" s="64">
        <f>K3*K4</f>
        <v>1363.7058333333334</v>
      </c>
      <c r="P9" s="50" t="s">
        <v>106</v>
      </c>
      <c r="Q9" s="51">
        <v>0.1215</v>
      </c>
      <c r="R9" s="52">
        <f>(R4*Q9)</f>
        <v>46.899000000000001</v>
      </c>
    </row>
    <row r="10" spans="2:18" ht="15.75" thickBot="1" x14ac:dyDescent="0.3">
      <c r="B10" s="77"/>
      <c r="C10" s="77"/>
      <c r="D10" s="78" t="s">
        <v>3</v>
      </c>
      <c r="E10" s="79"/>
      <c r="F10" s="78" t="s">
        <v>3</v>
      </c>
      <c r="G10" s="68">
        <f>SUM(G5:G9)</f>
        <v>1362.2037333333335</v>
      </c>
      <c r="J10" s="58" t="s">
        <v>94</v>
      </c>
      <c r="K10" s="64">
        <f>K5*K3</f>
        <v>165</v>
      </c>
      <c r="P10" s="147" t="s">
        <v>107</v>
      </c>
      <c r="Q10" s="148"/>
      <c r="R10" s="116">
        <f>SUM(R5:R9)</f>
        <v>159.48233333333332</v>
      </c>
    </row>
    <row r="11" spans="2:18" ht="15.75" thickBot="1" x14ac:dyDescent="0.3">
      <c r="B11" s="77"/>
      <c r="C11" s="77"/>
      <c r="D11" s="80" t="s">
        <v>4</v>
      </c>
      <c r="E11" s="81"/>
      <c r="F11" s="80" t="s">
        <v>4</v>
      </c>
      <c r="G11" s="71">
        <f>G10*12%</f>
        <v>163.464448</v>
      </c>
      <c r="J11" s="58" t="s">
        <v>95</v>
      </c>
      <c r="K11" s="64">
        <f>SUM(K9:K10)</f>
        <v>1528.7058333333334</v>
      </c>
      <c r="P11" s="145" t="s">
        <v>91</v>
      </c>
      <c r="Q11" s="146"/>
      <c r="R11" s="118">
        <f>R4+R10</f>
        <v>545.48233333333337</v>
      </c>
    </row>
    <row r="12" spans="2:18" ht="16.5" thickBot="1" x14ac:dyDescent="0.3">
      <c r="B12" s="82"/>
      <c r="C12" s="77"/>
      <c r="D12" s="83" t="s">
        <v>5</v>
      </c>
      <c r="E12" s="84"/>
      <c r="F12" s="83" t="s">
        <v>5</v>
      </c>
      <c r="G12" s="85">
        <f>SUM(G10:G11)</f>
        <v>1525.6681813333335</v>
      </c>
      <c r="J12" s="58" t="s">
        <v>98</v>
      </c>
      <c r="K12" s="119">
        <f>Q12</f>
        <v>1</v>
      </c>
      <c r="P12" s="53" t="s">
        <v>108</v>
      </c>
      <c r="Q12" s="54">
        <v>1</v>
      </c>
      <c r="R12" s="117">
        <f>R11*Q12</f>
        <v>545.48233333333337</v>
      </c>
    </row>
    <row r="13" spans="2:18" ht="13.5" thickBot="1" x14ac:dyDescent="0.25">
      <c r="J13" s="58" t="s">
        <v>91</v>
      </c>
      <c r="K13" s="64">
        <f>K11*K12</f>
        <v>1528.7058333333334</v>
      </c>
    </row>
    <row r="14" spans="2:18" ht="18.75" customHeight="1" thickBot="1" x14ac:dyDescent="0.25">
      <c r="B14" s="152" t="s">
        <v>39</v>
      </c>
      <c r="C14" s="153"/>
      <c r="D14" s="153"/>
      <c r="E14" s="153"/>
      <c r="F14" s="153"/>
      <c r="G14" s="154"/>
      <c r="J14" s="58" t="s">
        <v>99</v>
      </c>
      <c r="K14" s="64">
        <f>K12*K13</f>
        <v>1528.7058333333334</v>
      </c>
    </row>
    <row r="15" spans="2:18" ht="15" customHeight="1" thickBot="1" x14ac:dyDescent="0.25">
      <c r="B15" s="86" t="s">
        <v>0</v>
      </c>
      <c r="C15" s="87" t="s">
        <v>6</v>
      </c>
      <c r="D15" s="87" t="s">
        <v>1</v>
      </c>
      <c r="E15" s="88">
        <v>0</v>
      </c>
      <c r="F15" s="88" t="s">
        <v>121</v>
      </c>
      <c r="G15" s="89" t="s">
        <v>2</v>
      </c>
      <c r="J15" s="72"/>
      <c r="N15" s="112" t="s">
        <v>118</v>
      </c>
    </row>
    <row r="16" spans="2:18" ht="13.5" thickBot="1" x14ac:dyDescent="0.25">
      <c r="B16" s="90" t="s">
        <v>7</v>
      </c>
      <c r="C16" s="120">
        <f>C9</f>
        <v>235.4</v>
      </c>
      <c r="D16" s="91">
        <f>Q19</f>
        <v>0.59</v>
      </c>
      <c r="E16" s="91">
        <f>D16*$E$15</f>
        <v>0</v>
      </c>
      <c r="F16" s="91">
        <f>E16+D16</f>
        <v>0.59</v>
      </c>
      <c r="G16" s="92">
        <f>F16*C16</f>
        <v>138.886</v>
      </c>
      <c r="J16" s="58" t="s">
        <v>89</v>
      </c>
      <c r="K16" s="107">
        <v>4</v>
      </c>
      <c r="L16" s="107">
        <v>4</v>
      </c>
      <c r="M16" s="107">
        <v>35</v>
      </c>
      <c r="N16" s="124">
        <f>(K16+L16+M16)/3</f>
        <v>14.333333333333334</v>
      </c>
      <c r="P16" s="140" t="s">
        <v>116</v>
      </c>
      <c r="Q16" s="141"/>
    </row>
    <row r="17" spans="2:17" s="93" customFormat="1" ht="13.5" thickBot="1" x14ac:dyDescent="0.25">
      <c r="B17" s="55" t="s">
        <v>79</v>
      </c>
      <c r="C17" s="155">
        <v>1</v>
      </c>
      <c r="D17" s="157">
        <f>Q20</f>
        <v>19</v>
      </c>
      <c r="E17" s="157">
        <f t="shared" ref="E17:E18" si="3">D17*$E$15</f>
        <v>0</v>
      </c>
      <c r="F17" s="157">
        <f t="shared" ref="F17:F18" si="4">E17+D17</f>
        <v>19</v>
      </c>
      <c r="G17" s="159">
        <f>F17*C17</f>
        <v>19</v>
      </c>
      <c r="J17" s="58" t="s">
        <v>88</v>
      </c>
      <c r="K17" s="107">
        <v>106</v>
      </c>
      <c r="L17" s="107">
        <v>102</v>
      </c>
      <c r="M17" s="107">
        <v>6</v>
      </c>
      <c r="N17" s="124">
        <f>(K17+L17+M17)*10%</f>
        <v>21.400000000000002</v>
      </c>
      <c r="P17" s="58" t="s">
        <v>112</v>
      </c>
      <c r="Q17" s="64">
        <v>1.1000000000000001</v>
      </c>
    </row>
    <row r="18" spans="2:17" s="93" customFormat="1" ht="13.5" thickBot="1" x14ac:dyDescent="0.25">
      <c r="B18" s="43" t="s">
        <v>85</v>
      </c>
      <c r="C18" s="156"/>
      <c r="D18" s="158"/>
      <c r="E18" s="158">
        <f t="shared" si="3"/>
        <v>0</v>
      </c>
      <c r="F18" s="158">
        <f t="shared" si="4"/>
        <v>0</v>
      </c>
      <c r="G18" s="160">
        <f t="shared" ref="G18" si="5">(D18+E18)*C18</f>
        <v>0</v>
      </c>
      <c r="J18" s="58" t="s">
        <v>90</v>
      </c>
      <c r="K18" s="59">
        <f>K16*K17</f>
        <v>424</v>
      </c>
      <c r="L18" s="59">
        <f>L16*L17</f>
        <v>408</v>
      </c>
      <c r="M18" s="59">
        <f>M16*M17</f>
        <v>210</v>
      </c>
      <c r="N18" s="128">
        <f>N16*N17</f>
        <v>306.73333333333335</v>
      </c>
      <c r="P18" s="58" t="s">
        <v>113</v>
      </c>
      <c r="Q18" s="64">
        <v>0.6</v>
      </c>
    </row>
    <row r="19" spans="2:17" s="93" customFormat="1" ht="16.5" thickBot="1" x14ac:dyDescent="0.25">
      <c r="B19" s="95"/>
      <c r="C19" s="96"/>
      <c r="D19" s="97" t="s">
        <v>3</v>
      </c>
      <c r="E19" s="98"/>
      <c r="F19" s="97" t="s">
        <v>3</v>
      </c>
      <c r="G19" s="92">
        <f>SUM(G16:G17)</f>
        <v>157.886</v>
      </c>
      <c r="P19" s="58" t="s">
        <v>7</v>
      </c>
      <c r="Q19" s="64">
        <f>IF(AND(C16&gt;1,C16&lt;=100),(K30/C16)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0.59</v>
      </c>
    </row>
    <row r="20" spans="2:17" s="93" customFormat="1" ht="16.5" thickBot="1" x14ac:dyDescent="0.25">
      <c r="B20" s="95"/>
      <c r="C20" s="96"/>
      <c r="D20" s="99" t="s">
        <v>86</v>
      </c>
      <c r="E20" s="100"/>
      <c r="F20" s="99" t="s">
        <v>86</v>
      </c>
      <c r="G20" s="101">
        <f>G17</f>
        <v>19</v>
      </c>
      <c r="J20" s="140" t="s">
        <v>111</v>
      </c>
      <c r="K20" s="141"/>
      <c r="L20" s="102" t="s">
        <v>109</v>
      </c>
      <c r="P20" s="58" t="s">
        <v>114</v>
      </c>
      <c r="Q20" s="64">
        <v>19</v>
      </c>
    </row>
    <row r="21" spans="2:17" s="93" customFormat="1" ht="15.75" thickBot="1" x14ac:dyDescent="0.25">
      <c r="B21" s="96"/>
      <c r="C21" s="96"/>
      <c r="D21" s="99" t="s">
        <v>4</v>
      </c>
      <c r="E21" s="100"/>
      <c r="F21" s="99" t="s">
        <v>4</v>
      </c>
      <c r="G21" s="101">
        <f>(G19-G20)*H21</f>
        <v>16.666319999999999</v>
      </c>
      <c r="H21" s="103">
        <v>0.12</v>
      </c>
      <c r="J21" s="58" t="s">
        <v>110</v>
      </c>
      <c r="K21" s="64">
        <f>($K$4+$K$5)/L21</f>
        <v>0.86858285984848493</v>
      </c>
      <c r="L21" s="108">
        <v>32</v>
      </c>
      <c r="Q21" s="94"/>
    </row>
    <row r="22" spans="2:17" s="93" customFormat="1" ht="15.75" thickBot="1" x14ac:dyDescent="0.25">
      <c r="B22" s="96"/>
      <c r="C22" s="96"/>
      <c r="D22" s="104" t="s">
        <v>5</v>
      </c>
      <c r="E22" s="105"/>
      <c r="F22" s="104" t="s">
        <v>5</v>
      </c>
      <c r="G22" s="106">
        <f>(G19-G20)+G21</f>
        <v>155.55232000000001</v>
      </c>
      <c r="J22" s="58" t="s">
        <v>115</v>
      </c>
      <c r="K22" s="64">
        <f>K21*L22</f>
        <v>0.52114971590909098</v>
      </c>
      <c r="L22" s="109">
        <v>0.6</v>
      </c>
      <c r="Q22" s="94"/>
    </row>
    <row r="23" spans="2:17" s="93" customFormat="1" ht="13.5" thickBot="1" x14ac:dyDescent="0.25">
      <c r="B23" s="56"/>
      <c r="C23" s="56"/>
      <c r="D23" s="56"/>
      <c r="E23" s="56"/>
      <c r="F23" s="56"/>
      <c r="G23" s="56"/>
      <c r="Q23" s="94"/>
    </row>
    <row r="24" spans="2:17" s="93" customFormat="1" ht="13.5" thickBot="1" x14ac:dyDescent="0.25">
      <c r="B24" s="56"/>
      <c r="C24" s="56"/>
      <c r="D24" s="56"/>
      <c r="E24" s="56"/>
      <c r="F24" s="56"/>
      <c r="G24" s="56"/>
      <c r="J24" s="140" t="s">
        <v>119</v>
      </c>
      <c r="K24" s="141"/>
      <c r="L24" s="102" t="s">
        <v>109</v>
      </c>
      <c r="P24" s="93" t="b">
        <f>IF(AND(C16&gt;1,C16&lt;=100),(C16/K30),IF(C16&lt;=100,K30/C16,IF(AND(C16&gt;100,C16&lt;=200),K31)))</f>
        <v>0</v>
      </c>
      <c r="Q24" s="94"/>
    </row>
    <row r="25" spans="2:17" ht="15.75" thickBot="1" x14ac:dyDescent="0.3">
      <c r="B25" s="149" t="s">
        <v>82</v>
      </c>
      <c r="C25" s="150"/>
      <c r="D25" s="150"/>
      <c r="E25" s="150"/>
      <c r="F25" s="150"/>
      <c r="G25" s="151"/>
      <c r="J25" s="58" t="s">
        <v>120</v>
      </c>
      <c r="K25" s="64">
        <f>($K$4+$K$5)/L25</f>
        <v>0.34743314393939395</v>
      </c>
      <c r="L25" s="108">
        <v>80</v>
      </c>
    </row>
    <row r="26" spans="2:17" ht="15.75" thickBot="1" x14ac:dyDescent="0.3">
      <c r="B26" s="60" t="s">
        <v>0</v>
      </c>
      <c r="C26" s="61" t="s">
        <v>6</v>
      </c>
      <c r="D26" s="61" t="s">
        <v>1</v>
      </c>
      <c r="E26" s="62">
        <v>0.2</v>
      </c>
      <c r="F26" s="62" t="s">
        <v>121</v>
      </c>
      <c r="G26" s="63" t="s">
        <v>2</v>
      </c>
      <c r="J26" s="58" t="s">
        <v>115</v>
      </c>
      <c r="K26" s="64">
        <f>K25*L26</f>
        <v>6.9486628787878799E-2</v>
      </c>
      <c r="L26" s="109">
        <v>0.2</v>
      </c>
    </row>
    <row r="27" spans="2:17" ht="13.5" thickBot="1" x14ac:dyDescent="0.25">
      <c r="B27" s="73" t="s">
        <v>81</v>
      </c>
      <c r="C27" s="74">
        <v>50</v>
      </c>
      <c r="D27" s="75">
        <v>0.6</v>
      </c>
      <c r="E27" s="75">
        <f t="shared" ref="E27" si="6">D27*$E$4</f>
        <v>0.36</v>
      </c>
      <c r="F27" s="75">
        <v>2.2999999999999998</v>
      </c>
      <c r="G27" s="76">
        <f t="shared" ref="G27" si="7">F27*C27</f>
        <v>114.99999999999999</v>
      </c>
    </row>
    <row r="28" spans="2:17" ht="15" x14ac:dyDescent="0.25">
      <c r="B28" s="77"/>
      <c r="C28" s="77"/>
      <c r="D28" s="78" t="s">
        <v>3</v>
      </c>
      <c r="E28" s="79"/>
      <c r="F28" s="78" t="s">
        <v>3</v>
      </c>
      <c r="G28" s="68">
        <f>SUM(G27:G27)</f>
        <v>114.99999999999999</v>
      </c>
    </row>
    <row r="29" spans="2:17" ht="15.75" thickBot="1" x14ac:dyDescent="0.3">
      <c r="B29" s="77"/>
      <c r="C29" s="77"/>
      <c r="D29" s="80" t="s">
        <v>4</v>
      </c>
      <c r="E29" s="81"/>
      <c r="F29" s="80" t="s">
        <v>4</v>
      </c>
      <c r="G29" s="71">
        <f>G28*12%</f>
        <v>13.799999999999997</v>
      </c>
      <c r="J29" s="16" t="s">
        <v>14</v>
      </c>
      <c r="K29" s="16" t="s">
        <v>15</v>
      </c>
      <c r="L29" s="16" t="s">
        <v>122</v>
      </c>
      <c r="M29" s="16" t="s">
        <v>136</v>
      </c>
    </row>
    <row r="30" spans="2:17" ht="16.5" thickBot="1" x14ac:dyDescent="0.3">
      <c r="B30" s="82"/>
      <c r="C30" s="77"/>
      <c r="D30" s="83" t="s">
        <v>5</v>
      </c>
      <c r="E30" s="84"/>
      <c r="F30" s="83" t="s">
        <v>5</v>
      </c>
      <c r="G30" s="85">
        <f>SUM(G28:G29)</f>
        <v>128.79999999999998</v>
      </c>
      <c r="J30" s="13" t="s">
        <v>123</v>
      </c>
      <c r="K30" s="113">
        <v>100</v>
      </c>
      <c r="L30" s="14" t="s">
        <v>31</v>
      </c>
      <c r="M30" s="115">
        <v>0</v>
      </c>
    </row>
    <row r="31" spans="2:17" x14ac:dyDescent="0.2">
      <c r="J31" s="14" t="s">
        <v>124</v>
      </c>
      <c r="K31" s="113">
        <v>0.62</v>
      </c>
      <c r="L31" s="14" t="s">
        <v>32</v>
      </c>
      <c r="M31" s="115">
        <v>0.35</v>
      </c>
    </row>
    <row r="32" spans="2:17" x14ac:dyDescent="0.2">
      <c r="J32" s="14" t="s">
        <v>125</v>
      </c>
      <c r="K32" s="113">
        <v>0.59</v>
      </c>
      <c r="L32" s="14" t="s">
        <v>32</v>
      </c>
    </row>
    <row r="33" spans="9:12" x14ac:dyDescent="0.2">
      <c r="J33" s="14" t="s">
        <v>126</v>
      </c>
      <c r="K33" s="113">
        <v>0.56000000000000005</v>
      </c>
      <c r="L33" s="14" t="s">
        <v>32</v>
      </c>
    </row>
    <row r="34" spans="9:12" x14ac:dyDescent="0.2">
      <c r="J34" s="14" t="s">
        <v>127</v>
      </c>
      <c r="K34" s="113">
        <v>0.53</v>
      </c>
      <c r="L34" s="14" t="s">
        <v>32</v>
      </c>
    </row>
    <row r="35" spans="9:12" x14ac:dyDescent="0.2">
      <c r="J35" s="14" t="s">
        <v>128</v>
      </c>
      <c r="K35" s="113">
        <v>0.49</v>
      </c>
      <c r="L35" s="14" t="s">
        <v>32</v>
      </c>
    </row>
    <row r="36" spans="9:12" x14ac:dyDescent="0.2">
      <c r="J36" s="14" t="s">
        <v>129</v>
      </c>
      <c r="K36" s="113">
        <v>0.47</v>
      </c>
      <c r="L36" s="14" t="s">
        <v>32</v>
      </c>
    </row>
    <row r="37" spans="9:12" x14ac:dyDescent="0.2">
      <c r="J37" s="14" t="s">
        <v>130</v>
      </c>
      <c r="K37" s="113">
        <v>0.45</v>
      </c>
      <c r="L37" s="14" t="s">
        <v>32</v>
      </c>
    </row>
    <row r="38" spans="9:12" x14ac:dyDescent="0.2">
      <c r="J38" s="13" t="s">
        <v>131</v>
      </c>
      <c r="K38" s="113">
        <v>0.43</v>
      </c>
      <c r="L38" s="14" t="s">
        <v>32</v>
      </c>
    </row>
    <row r="39" spans="9:12" x14ac:dyDescent="0.2">
      <c r="J39" s="14" t="s">
        <v>132</v>
      </c>
      <c r="K39" s="113">
        <v>0.41</v>
      </c>
      <c r="L39" s="14" t="s">
        <v>32</v>
      </c>
    </row>
    <row r="40" spans="9:12" x14ac:dyDescent="0.2">
      <c r="J40" s="14" t="s">
        <v>133</v>
      </c>
      <c r="K40" s="113">
        <v>0.38</v>
      </c>
      <c r="L40" s="14" t="s">
        <v>32</v>
      </c>
    </row>
    <row r="41" spans="9:12" x14ac:dyDescent="0.2">
      <c r="J41" s="14" t="s">
        <v>134</v>
      </c>
      <c r="K41" s="113">
        <v>0.34</v>
      </c>
      <c r="L41" s="14" t="s">
        <v>32</v>
      </c>
    </row>
    <row r="42" spans="9:12" x14ac:dyDescent="0.2">
      <c r="J42" s="14" t="s">
        <v>135</v>
      </c>
      <c r="K42" s="113">
        <v>0.3</v>
      </c>
      <c r="L42" s="14" t="s">
        <v>32</v>
      </c>
    </row>
    <row r="44" spans="9:12" x14ac:dyDescent="0.2">
      <c r="I44" s="130" t="s">
        <v>151</v>
      </c>
    </row>
    <row r="45" spans="9:12" x14ac:dyDescent="0.2">
      <c r="I45" s="57"/>
      <c r="J45" s="57"/>
      <c r="K45" s="57"/>
      <c r="L45" s="126">
        <v>4</v>
      </c>
    </row>
    <row r="46" spans="9:12" x14ac:dyDescent="0.2">
      <c r="I46" s="125" t="s">
        <v>137</v>
      </c>
      <c r="J46" s="125" t="s">
        <v>138</v>
      </c>
      <c r="K46" s="125" t="s">
        <v>90</v>
      </c>
      <c r="L46" s="125" t="s">
        <v>139</v>
      </c>
    </row>
    <row r="47" spans="9:12" x14ac:dyDescent="0.2">
      <c r="I47" s="126">
        <v>25</v>
      </c>
      <c r="J47" s="126">
        <v>5</v>
      </c>
      <c r="K47" s="137">
        <f>IF(OR(I47=0),(J47),IF(OR(I47&gt;0),(I47*J47)))</f>
        <v>125</v>
      </c>
      <c r="L47" s="138">
        <f>K47/$L$45</f>
        <v>31.25</v>
      </c>
    </row>
    <row r="48" spans="9:12" x14ac:dyDescent="0.2">
      <c r="I48" s="126">
        <v>0</v>
      </c>
      <c r="J48" s="126">
        <v>300</v>
      </c>
      <c r="K48" s="137">
        <f>IF(OR(I48=0),(J48),IF(OR(I48&gt;0),(I48*J48)))</f>
        <v>300</v>
      </c>
      <c r="L48" s="137">
        <f>K48/$L$45</f>
        <v>75</v>
      </c>
    </row>
    <row r="49" spans="9:16" x14ac:dyDescent="0.2">
      <c r="I49" s="126">
        <v>0</v>
      </c>
      <c r="J49" s="126">
        <v>0</v>
      </c>
      <c r="K49" s="137">
        <f>IF(OR(I49=0),(J49),IF(OR(I49&gt;0),(I49*J49)))</f>
        <v>0</v>
      </c>
      <c r="L49" s="138">
        <f>K49/$L$45</f>
        <v>0</v>
      </c>
    </row>
    <row r="50" spans="9:16" x14ac:dyDescent="0.2">
      <c r="I50" s="57"/>
      <c r="J50" s="57"/>
      <c r="K50" s="57"/>
      <c r="L50" s="57"/>
    </row>
    <row r="51" spans="9:16" x14ac:dyDescent="0.2">
      <c r="K51" s="125" t="s">
        <v>140</v>
      </c>
      <c r="L51" s="138">
        <f>SUM(L47:L50)</f>
        <v>106.25</v>
      </c>
    </row>
    <row r="53" spans="9:16" x14ac:dyDescent="0.2">
      <c r="I53" s="130" t="s">
        <v>152</v>
      </c>
    </row>
    <row r="54" spans="9:16" x14ac:dyDescent="0.2">
      <c r="M54" s="126">
        <v>4</v>
      </c>
      <c r="P54" s="56">
        <f>IF(OR(I48=0),J48)</f>
        <v>300</v>
      </c>
    </row>
    <row r="55" spans="9:16" x14ac:dyDescent="0.2">
      <c r="I55" s="125" t="s">
        <v>153</v>
      </c>
      <c r="J55" s="125" t="s">
        <v>142</v>
      </c>
      <c r="K55" s="125" t="s">
        <v>154</v>
      </c>
      <c r="L55" s="125" t="s">
        <v>155</v>
      </c>
      <c r="M55" s="125" t="s">
        <v>156</v>
      </c>
    </row>
    <row r="56" spans="9:16" x14ac:dyDescent="0.2">
      <c r="I56" s="126">
        <v>6</v>
      </c>
      <c r="J56" s="126">
        <v>4</v>
      </c>
      <c r="K56" s="126">
        <v>17</v>
      </c>
      <c r="L56" s="137">
        <f>I56*J56*K56</f>
        <v>408</v>
      </c>
      <c r="M56" s="138">
        <f>L56/$M$54</f>
        <v>102</v>
      </c>
    </row>
    <row r="57" spans="9:16" x14ac:dyDescent="0.2">
      <c r="I57" s="126">
        <v>0</v>
      </c>
      <c r="J57" s="126">
        <v>0</v>
      </c>
      <c r="K57" s="126">
        <f t="shared" ref="K57:K58" si="8">I57*J57</f>
        <v>0</v>
      </c>
      <c r="L57" s="137">
        <f t="shared" ref="L57:L58" si="9">I57*J57*K57</f>
        <v>0</v>
      </c>
      <c r="M57" s="137">
        <f t="shared" ref="M57:M58" si="10">L57/$M$54</f>
        <v>0</v>
      </c>
    </row>
    <row r="58" spans="9:16" x14ac:dyDescent="0.2">
      <c r="I58" s="126">
        <v>0</v>
      </c>
      <c r="J58" s="126">
        <v>0</v>
      </c>
      <c r="K58" s="126">
        <f t="shared" si="8"/>
        <v>0</v>
      </c>
      <c r="L58" s="138">
        <f t="shared" si="9"/>
        <v>0</v>
      </c>
      <c r="M58" s="137">
        <f t="shared" si="10"/>
        <v>0</v>
      </c>
    </row>
    <row r="59" spans="9:16" x14ac:dyDescent="0.2">
      <c r="I59" s="57"/>
      <c r="J59" s="57"/>
      <c r="K59" s="57"/>
      <c r="L59" s="57"/>
    </row>
    <row r="60" spans="9:16" x14ac:dyDescent="0.2">
      <c r="K60" s="125" t="s">
        <v>140</v>
      </c>
      <c r="L60" s="138">
        <f>M56+M57+M58</f>
        <v>102</v>
      </c>
    </row>
    <row r="62" spans="9:16" x14ac:dyDescent="0.2">
      <c r="I62" s="130" t="s">
        <v>157</v>
      </c>
    </row>
    <row r="63" spans="9:16" x14ac:dyDescent="0.2">
      <c r="I63" s="57"/>
      <c r="J63" s="57"/>
      <c r="K63" s="57"/>
      <c r="L63" s="126">
        <v>35</v>
      </c>
    </row>
    <row r="64" spans="9:16" x14ac:dyDescent="0.2">
      <c r="I64" s="125" t="s">
        <v>137</v>
      </c>
      <c r="J64" s="125" t="s">
        <v>138</v>
      </c>
      <c r="K64" s="125" t="s">
        <v>90</v>
      </c>
      <c r="L64" s="125" t="s">
        <v>139</v>
      </c>
    </row>
    <row r="65" spans="8:14" x14ac:dyDescent="0.2">
      <c r="I65" s="126">
        <v>2</v>
      </c>
      <c r="J65" s="126">
        <v>100</v>
      </c>
      <c r="K65" s="137">
        <f>IF(OR(I65=0),(J65),IF(OR(I65&gt;0),(I65*J65)))</f>
        <v>200</v>
      </c>
      <c r="L65" s="138">
        <f>K65/$L$63</f>
        <v>5.7142857142857144</v>
      </c>
    </row>
    <row r="66" spans="8:14" x14ac:dyDescent="0.2">
      <c r="I66" s="126">
        <v>0</v>
      </c>
      <c r="J66" s="126">
        <v>0</v>
      </c>
      <c r="K66" s="137">
        <f>IF(OR(I66=0),(J66),IF(OR(I66&gt;0),(I66*J66)))</f>
        <v>0</v>
      </c>
      <c r="L66" s="137">
        <f>K66/$L$45</f>
        <v>0</v>
      </c>
    </row>
    <row r="67" spans="8:14" x14ac:dyDescent="0.2">
      <c r="I67" s="126">
        <v>0</v>
      </c>
      <c r="J67" s="126">
        <v>0</v>
      </c>
      <c r="K67" s="137">
        <f>IF(OR(I67=0),(J67),IF(OR(I67&gt;0),(I67*J67)))</f>
        <v>0</v>
      </c>
      <c r="L67" s="138">
        <f>K67/$L$45</f>
        <v>0</v>
      </c>
    </row>
    <row r="68" spans="8:14" x14ac:dyDescent="0.2">
      <c r="I68" s="57"/>
      <c r="J68" s="57"/>
      <c r="K68" s="57"/>
      <c r="L68" s="57"/>
    </row>
    <row r="69" spans="8:14" x14ac:dyDescent="0.2">
      <c r="K69" s="125" t="s">
        <v>140</v>
      </c>
      <c r="L69" s="138">
        <f>SUM(L65:L68)</f>
        <v>5.7142857142857144</v>
      </c>
    </row>
    <row r="71" spans="8:14" x14ac:dyDescent="0.2">
      <c r="I71" s="130" t="s">
        <v>159</v>
      </c>
    </row>
    <row r="73" spans="8:14" x14ac:dyDescent="0.2">
      <c r="H73" s="125" t="s">
        <v>146</v>
      </c>
      <c r="I73" s="125" t="s">
        <v>141</v>
      </c>
      <c r="J73" s="125" t="s">
        <v>142</v>
      </c>
      <c r="K73" s="125" t="s">
        <v>144</v>
      </c>
      <c r="L73" s="125" t="s">
        <v>88</v>
      </c>
      <c r="M73" s="125" t="s">
        <v>145</v>
      </c>
      <c r="N73" s="125" t="s">
        <v>90</v>
      </c>
    </row>
    <row r="74" spans="8:14" x14ac:dyDescent="0.2">
      <c r="H74" s="129" t="s">
        <v>143</v>
      </c>
      <c r="I74" s="126">
        <v>0</v>
      </c>
      <c r="J74" s="126">
        <v>0</v>
      </c>
      <c r="K74" s="126">
        <v>0</v>
      </c>
      <c r="L74" s="137">
        <f>I74*J74*K74</f>
        <v>0</v>
      </c>
      <c r="M74" s="126">
        <v>0</v>
      </c>
      <c r="N74" s="137">
        <f>L74*M74</f>
        <v>0</v>
      </c>
    </row>
    <row r="75" spans="8:14" x14ac:dyDescent="0.2">
      <c r="H75" s="129" t="s">
        <v>147</v>
      </c>
      <c r="I75" s="126">
        <v>0</v>
      </c>
      <c r="J75" s="126">
        <v>0</v>
      </c>
      <c r="K75" s="126">
        <v>0</v>
      </c>
      <c r="L75" s="137">
        <f t="shared" ref="L75:L78" si="11">I75*J75*K75</f>
        <v>0</v>
      </c>
      <c r="M75" s="126">
        <v>0</v>
      </c>
      <c r="N75" s="137">
        <f t="shared" ref="N75:N78" si="12">L75*M75</f>
        <v>0</v>
      </c>
    </row>
    <row r="76" spans="8:14" x14ac:dyDescent="0.2">
      <c r="H76" s="129" t="s">
        <v>147</v>
      </c>
      <c r="I76" s="126">
        <v>0</v>
      </c>
      <c r="J76" s="126">
        <v>0</v>
      </c>
      <c r="K76" s="126">
        <v>0</v>
      </c>
      <c r="L76" s="137">
        <f t="shared" si="11"/>
        <v>0</v>
      </c>
      <c r="M76" s="126">
        <v>0</v>
      </c>
      <c r="N76" s="137">
        <f t="shared" si="12"/>
        <v>0</v>
      </c>
    </row>
    <row r="77" spans="8:14" x14ac:dyDescent="0.2">
      <c r="H77" s="129" t="s">
        <v>148</v>
      </c>
      <c r="I77" s="126">
        <v>0</v>
      </c>
      <c r="J77" s="126">
        <v>0</v>
      </c>
      <c r="K77" s="126">
        <v>0</v>
      </c>
      <c r="L77" s="137">
        <f t="shared" si="11"/>
        <v>0</v>
      </c>
      <c r="M77" s="126">
        <v>0</v>
      </c>
      <c r="N77" s="137">
        <f t="shared" si="12"/>
        <v>0</v>
      </c>
    </row>
    <row r="78" spans="8:14" x14ac:dyDescent="0.2">
      <c r="H78" s="129" t="s">
        <v>149</v>
      </c>
      <c r="I78" s="126">
        <v>0</v>
      </c>
      <c r="J78" s="126">
        <v>0</v>
      </c>
      <c r="K78" s="126">
        <v>0</v>
      </c>
      <c r="L78" s="137">
        <f t="shared" si="11"/>
        <v>0</v>
      </c>
      <c r="M78" s="126">
        <v>0</v>
      </c>
      <c r="N78" s="137">
        <f t="shared" si="12"/>
        <v>0</v>
      </c>
    </row>
    <row r="79" spans="8:14" x14ac:dyDescent="0.2">
      <c r="H79" s="129" t="s">
        <v>150</v>
      </c>
      <c r="I79" s="126">
        <v>0</v>
      </c>
      <c r="J79" s="126">
        <v>0</v>
      </c>
      <c r="K79" s="126">
        <v>0</v>
      </c>
      <c r="L79" s="137">
        <f t="shared" ref="L79" si="13">I79*J79*K79</f>
        <v>0</v>
      </c>
      <c r="M79" s="126">
        <v>0</v>
      </c>
      <c r="N79" s="137">
        <f t="shared" ref="N79" si="14">L79*M79</f>
        <v>0</v>
      </c>
    </row>
    <row r="81" spans="11:12" x14ac:dyDescent="0.2">
      <c r="K81" s="125" t="s">
        <v>140</v>
      </c>
      <c r="L81" s="138">
        <f>SUM(L74:L80)</f>
        <v>0</v>
      </c>
    </row>
    <row r="84" spans="11:12" x14ac:dyDescent="0.2">
      <c r="K84" s="125" t="s">
        <v>140</v>
      </c>
      <c r="L84" s="127">
        <f>L81+L69+L60+L51</f>
        <v>213.96428571428572</v>
      </c>
    </row>
    <row r="86" spans="11:12" x14ac:dyDescent="0.2">
      <c r="K86" s="125" t="s">
        <v>90</v>
      </c>
      <c r="L86" s="127">
        <f>K47+K48+K49+L56+L57+L58+K65+K66+K67+K74+K75+K76+K77+K78+K79</f>
        <v>1033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99D19-368D-411D-AC9C-E6E9B4EAF189}">
  <dimension ref="B2:E21"/>
  <sheetViews>
    <sheetView topLeftCell="A3" workbookViewId="0">
      <selection activeCell="G13" sqref="G13"/>
    </sheetView>
  </sheetViews>
  <sheetFormatPr baseColWidth="10" defaultColWidth="11.42578125" defaultRowHeight="12.75" x14ac:dyDescent="0.2"/>
  <cols>
    <col min="2" max="2" width="42.42578125" bestFit="1" customWidth="1"/>
  </cols>
  <sheetData>
    <row r="2" spans="2:5" ht="13.5" thickBot="1" x14ac:dyDescent="0.25"/>
    <row r="3" spans="2:5" ht="15.75" thickBot="1" x14ac:dyDescent="0.3">
      <c r="B3" s="149" t="s">
        <v>80</v>
      </c>
      <c r="C3" s="150"/>
      <c r="D3" s="150"/>
      <c r="E3" s="151"/>
    </row>
    <row r="4" spans="2:5" ht="15.75" thickBot="1" x14ac:dyDescent="0.3">
      <c r="B4" s="131" t="s">
        <v>0</v>
      </c>
      <c r="C4" s="132" t="s">
        <v>6</v>
      </c>
      <c r="D4" s="62" t="s">
        <v>121</v>
      </c>
      <c r="E4" s="133" t="s">
        <v>2</v>
      </c>
    </row>
    <row r="5" spans="2:5" x14ac:dyDescent="0.2">
      <c r="B5" s="66" t="s">
        <v>97</v>
      </c>
      <c r="C5" s="121">
        <v>2200</v>
      </c>
      <c r="D5" s="67">
        <v>1.75</v>
      </c>
      <c r="E5" s="68">
        <f>D5*C5</f>
        <v>3850</v>
      </c>
    </row>
    <row r="6" spans="2:5" x14ac:dyDescent="0.2">
      <c r="B6" s="69" t="s">
        <v>117</v>
      </c>
      <c r="C6" s="122">
        <v>2200</v>
      </c>
      <c r="D6" s="70">
        <v>1</v>
      </c>
      <c r="E6" s="71">
        <f t="shared" ref="E6:E8" si="0">D6*C6</f>
        <v>2200</v>
      </c>
    </row>
    <row r="7" spans="2:5" x14ac:dyDescent="0.2">
      <c r="B7" s="69" t="s">
        <v>158</v>
      </c>
      <c r="C7" s="122">
        <v>75200</v>
      </c>
      <c r="D7" s="70">
        <v>0.21</v>
      </c>
      <c r="E7" s="71">
        <f t="shared" si="0"/>
        <v>15792</v>
      </c>
    </row>
    <row r="8" spans="2:5" ht="13.5" thickBot="1" x14ac:dyDescent="0.25">
      <c r="B8" s="73" t="s">
        <v>40</v>
      </c>
      <c r="C8" s="123">
        <v>2200</v>
      </c>
      <c r="D8" s="75">
        <v>0.5</v>
      </c>
      <c r="E8" s="76">
        <f t="shared" si="0"/>
        <v>1100</v>
      </c>
    </row>
    <row r="9" spans="2:5" ht="15" x14ac:dyDescent="0.25">
      <c r="B9" s="77"/>
      <c r="C9" s="77"/>
      <c r="D9" s="78" t="s">
        <v>3</v>
      </c>
      <c r="E9" s="68">
        <f>SUM(E5:E8)</f>
        <v>22942</v>
      </c>
    </row>
    <row r="10" spans="2:5" ht="15.75" thickBot="1" x14ac:dyDescent="0.3">
      <c r="B10" s="77"/>
      <c r="C10" s="77"/>
      <c r="D10" s="80" t="s">
        <v>4</v>
      </c>
      <c r="E10" s="71">
        <f>E9*12%</f>
        <v>2753.04</v>
      </c>
    </row>
    <row r="11" spans="2:5" ht="16.5" thickBot="1" x14ac:dyDescent="0.3">
      <c r="B11" s="82"/>
      <c r="C11" s="77"/>
      <c r="D11" s="83" t="s">
        <v>5</v>
      </c>
      <c r="E11" s="85">
        <f>E9+E10</f>
        <v>25695.040000000001</v>
      </c>
    </row>
    <row r="12" spans="2:5" ht="13.5" thickBot="1" x14ac:dyDescent="0.25">
      <c r="B12" s="56"/>
      <c r="C12" s="56"/>
      <c r="D12" s="56"/>
      <c r="E12" s="56"/>
    </row>
    <row r="13" spans="2:5" ht="15.75" thickBot="1" x14ac:dyDescent="0.25">
      <c r="B13" s="152" t="s">
        <v>39</v>
      </c>
      <c r="C13" s="153"/>
      <c r="D13" s="153"/>
      <c r="E13" s="154"/>
    </row>
    <row r="14" spans="2:5" ht="15.75" thickBot="1" x14ac:dyDescent="0.25">
      <c r="B14" s="134" t="s">
        <v>0</v>
      </c>
      <c r="C14" s="135" t="s">
        <v>6</v>
      </c>
      <c r="D14" s="88" t="s">
        <v>121</v>
      </c>
      <c r="E14" s="136" t="s">
        <v>2</v>
      </c>
    </row>
    <row r="15" spans="2:5" x14ac:dyDescent="0.2">
      <c r="B15" s="90" t="s">
        <v>7</v>
      </c>
      <c r="C15" s="120">
        <v>2200</v>
      </c>
      <c r="D15" s="91">
        <v>0.3</v>
      </c>
      <c r="E15" s="92">
        <f>C15*D15</f>
        <v>660</v>
      </c>
    </row>
    <row r="16" spans="2:5" x14ac:dyDescent="0.2">
      <c r="B16" s="55" t="s">
        <v>79</v>
      </c>
      <c r="C16" s="155">
        <v>1</v>
      </c>
      <c r="D16" s="157">
        <v>19</v>
      </c>
      <c r="E16" s="159">
        <v>19</v>
      </c>
    </row>
    <row r="17" spans="2:5" ht="13.5" thickBot="1" x14ac:dyDescent="0.25">
      <c r="B17" s="43" t="s">
        <v>85</v>
      </c>
      <c r="C17" s="156"/>
      <c r="D17" s="158">
        <v>0</v>
      </c>
      <c r="E17" s="160">
        <v>0</v>
      </c>
    </row>
    <row r="18" spans="2:5" ht="15.75" x14ac:dyDescent="0.2">
      <c r="B18" s="95"/>
      <c r="C18" s="96"/>
      <c r="D18" s="97" t="s">
        <v>3</v>
      </c>
      <c r="E18" s="92">
        <f>SUM(E15:E17)</f>
        <v>679</v>
      </c>
    </row>
    <row r="19" spans="2:5" ht="15.75" x14ac:dyDescent="0.2">
      <c r="B19" s="95"/>
      <c r="C19" s="96"/>
      <c r="D19" s="99" t="s">
        <v>86</v>
      </c>
      <c r="E19" s="101">
        <v>19</v>
      </c>
    </row>
    <row r="20" spans="2:5" ht="15.75" thickBot="1" x14ac:dyDescent="0.25">
      <c r="B20" s="96"/>
      <c r="C20" s="96"/>
      <c r="D20" s="99" t="s">
        <v>4</v>
      </c>
      <c r="E20" s="101">
        <f>(E18-E19)*12%</f>
        <v>79.2</v>
      </c>
    </row>
    <row r="21" spans="2:5" ht="15.75" thickBot="1" x14ac:dyDescent="0.25">
      <c r="B21" s="96"/>
      <c r="C21" s="96"/>
      <c r="D21" s="104" t="s">
        <v>5</v>
      </c>
      <c r="E21" s="106">
        <f>(E18-E19)+E20</f>
        <v>739.2</v>
      </c>
    </row>
  </sheetData>
  <mergeCells count="5">
    <mergeCell ref="B3:E3"/>
    <mergeCell ref="B13:E13"/>
    <mergeCell ref="C16:C17"/>
    <mergeCell ref="D16:D17"/>
    <mergeCell ref="E16:E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2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74</v>
      </c>
      <c r="C1" s="23"/>
      <c r="D1" s="23"/>
    </row>
    <row r="2" spans="2:6" x14ac:dyDescent="0.2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2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ColWidth="11.42578125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20</v>
      </c>
      <c r="D14">
        <v>100</v>
      </c>
    </row>
    <row r="15" spans="3:13" x14ac:dyDescent="0.2">
      <c r="C15" s="12"/>
    </row>
    <row r="16" spans="3:13" ht="15" x14ac:dyDescent="0.25">
      <c r="C16" s="16" t="s">
        <v>14</v>
      </c>
      <c r="D16" s="16" t="s">
        <v>15</v>
      </c>
    </row>
    <row r="17" spans="3:5" x14ac:dyDescent="0.2">
      <c r="C17" s="13" t="s">
        <v>30</v>
      </c>
      <c r="D17" s="15" t="s">
        <v>41</v>
      </c>
      <c r="E17" s="12" t="s">
        <v>31</v>
      </c>
    </row>
    <row r="18" spans="3:5" x14ac:dyDescent="0.2">
      <c r="C18" s="14" t="s">
        <v>33</v>
      </c>
      <c r="D18" s="15" t="s">
        <v>38</v>
      </c>
      <c r="E18" s="12" t="s">
        <v>32</v>
      </c>
    </row>
    <row r="19" spans="3:5" x14ac:dyDescent="0.2">
      <c r="C19" s="14" t="s">
        <v>34</v>
      </c>
      <c r="D19" s="15" t="s">
        <v>37</v>
      </c>
      <c r="E19" s="12" t="s">
        <v>32</v>
      </c>
    </row>
    <row r="20" spans="3:5" x14ac:dyDescent="0.2">
      <c r="C20" s="14" t="s">
        <v>35</v>
      </c>
      <c r="D20" s="15" t="s">
        <v>27</v>
      </c>
      <c r="E20" s="12" t="s">
        <v>32</v>
      </c>
    </row>
    <row r="21" spans="3:5" x14ac:dyDescent="0.2">
      <c r="C21" s="14" t="s">
        <v>36</v>
      </c>
      <c r="D21" s="15" t="s">
        <v>26</v>
      </c>
      <c r="E21" s="12"/>
    </row>
    <row r="22" spans="3:5" x14ac:dyDescent="0.2">
      <c r="C22" s="14" t="s">
        <v>25</v>
      </c>
      <c r="D22" s="15" t="s">
        <v>28</v>
      </c>
      <c r="E22" s="12" t="s">
        <v>32</v>
      </c>
    </row>
    <row r="23" spans="3:5" x14ac:dyDescent="0.2">
      <c r="C23" s="14" t="s">
        <v>24</v>
      </c>
      <c r="D23" s="15" t="s">
        <v>23</v>
      </c>
      <c r="E23" s="12" t="s">
        <v>32</v>
      </c>
    </row>
    <row r="24" spans="3:5" x14ac:dyDescent="0.2">
      <c r="C24" s="14" t="s">
        <v>22</v>
      </c>
      <c r="D24" s="15" t="s">
        <v>29</v>
      </c>
      <c r="E24" s="12" t="s">
        <v>32</v>
      </c>
    </row>
    <row r="25" spans="3:5" x14ac:dyDescent="0.2">
      <c r="C25" s="13" t="s">
        <v>21</v>
      </c>
      <c r="D25" s="15" t="s">
        <v>42</v>
      </c>
      <c r="E25" s="12" t="s">
        <v>32</v>
      </c>
    </row>
    <row r="26" spans="3:5" x14ac:dyDescent="0.2">
      <c r="C26" s="14" t="s">
        <v>19</v>
      </c>
      <c r="D26" s="15" t="s">
        <v>43</v>
      </c>
      <c r="E26" s="12" t="s">
        <v>32</v>
      </c>
    </row>
    <row r="27" spans="3:5" x14ac:dyDescent="0.2">
      <c r="C27" s="14" t="s">
        <v>18</v>
      </c>
      <c r="D27" s="15" t="s">
        <v>44</v>
      </c>
      <c r="E27" s="12" t="s">
        <v>32</v>
      </c>
    </row>
    <row r="28" spans="3:5" x14ac:dyDescent="0.2">
      <c r="C28" s="14" t="s">
        <v>17</v>
      </c>
      <c r="D28" s="15" t="s">
        <v>45</v>
      </c>
      <c r="E28" s="12" t="s">
        <v>32</v>
      </c>
    </row>
    <row r="29" spans="3:5" x14ac:dyDescent="0.2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 1</vt:lpstr>
      <vt:lpstr>Cuadro para Oferta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JefeComercial</cp:lastModifiedBy>
  <dcterms:created xsi:type="dcterms:W3CDTF">2011-02-02T13:59:28Z</dcterms:created>
  <dcterms:modified xsi:type="dcterms:W3CDTF">2019-02-04T22:05:02Z</dcterms:modified>
</cp:coreProperties>
</file>