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a.chiriboga\Desktop\"/>
    </mc:Choice>
  </mc:AlternateContent>
  <xr:revisionPtr revIDLastSave="0" documentId="8_{06A6ED84-4971-4DCC-88D5-67A8521EB4A3}" xr6:coauthVersionLast="28" xr6:coauthVersionMax="28" xr10:uidLastSave="{00000000-0000-0000-0000-000000000000}"/>
  <bookViews>
    <workbookView xWindow="0" yWindow="0" windowWidth="24000" windowHeight="9510" tabRatio="733" xr2:uid="{00000000-000D-0000-FFFF-FFFF00000000}"/>
  </bookViews>
  <sheets>
    <sheet name="Costo Digitalización Tipo 1" sheetId="14" r:id="rId1"/>
    <sheet name="Analisis de Costo Radicación " sheetId="18" r:id="rId2"/>
    <sheet name="Rendimiento Samsung" sheetId="17" r:id="rId3"/>
  </sheets>
  <externalReferences>
    <externalReference r:id="rId4"/>
  </externalReferences>
  <calcPr calcId="171027"/>
</workbook>
</file>

<file path=xl/calcChain.xml><?xml version="1.0" encoding="utf-8"?>
<calcChain xmlns="http://schemas.openxmlformats.org/spreadsheetml/2006/main">
  <c r="Q32" i="14" l="1"/>
  <c r="V5" i="14" l="1"/>
  <c r="M6" i="14" s="1"/>
  <c r="X2" i="14"/>
  <c r="W5" i="14" s="1"/>
  <c r="M11" i="14" s="1"/>
  <c r="M3" i="14" l="1"/>
  <c r="V36" i="14"/>
  <c r="V35" i="14"/>
  <c r="V34" i="14"/>
  <c r="V33" i="14"/>
  <c r="V37" i="14"/>
  <c r="V38" i="14" l="1"/>
  <c r="Q4" i="14"/>
  <c r="Q3" i="14"/>
  <c r="M21" i="14"/>
  <c r="M18" i="14"/>
  <c r="M15" i="14"/>
  <c r="V39" i="14" l="1"/>
  <c r="V40" i="14" s="1"/>
  <c r="M5" i="14"/>
  <c r="M7" i="14" s="1"/>
  <c r="N70" i="14"/>
  <c r="N74" i="14" s="1"/>
  <c r="M27" i="14" s="1"/>
  <c r="M10" i="14" l="1"/>
  <c r="M12" i="14" s="1"/>
  <c r="M22" i="14" s="1"/>
  <c r="Q30" i="14" s="1"/>
  <c r="N53" i="14" l="1"/>
  <c r="N52" i="14"/>
  <c r="N46" i="14"/>
  <c r="N55" i="14" l="1"/>
  <c r="M26" i="14" s="1"/>
  <c r="M29" i="14" s="1"/>
  <c r="M32" i="14" s="1"/>
  <c r="H40" i="14"/>
  <c r="Q31" i="14" l="1"/>
  <c r="H36" i="14"/>
  <c r="H42" i="14" s="1"/>
  <c r="H46" i="14" s="1"/>
  <c r="H48" i="14" l="1"/>
  <c r="H49" i="14" s="1"/>
  <c r="H51" i="14" s="1"/>
  <c r="C15" i="14" s="1"/>
  <c r="E15" i="14" s="1"/>
  <c r="H47" i="14"/>
  <c r="Y2" i="14"/>
  <c r="F15" i="14" l="1"/>
  <c r="F17" i="14" s="1"/>
  <c r="F18" i="14" s="1"/>
  <c r="Q25" i="14"/>
  <c r="D27" i="18"/>
  <c r="D26" i="18"/>
  <c r="F25" i="18"/>
  <c r="L18" i="18"/>
  <c r="D22" i="18"/>
  <c r="Q15" i="18"/>
  <c r="I21" i="18" s="1"/>
  <c r="L15" i="18"/>
  <c r="E22" i="18"/>
  <c r="E4" i="18"/>
  <c r="J4" i="18" s="1"/>
  <c r="K4" i="18" s="1"/>
  <c r="F22" i="18"/>
  <c r="F4" i="18"/>
  <c r="G4" i="18"/>
  <c r="I6" i="18" s="1"/>
  <c r="AC20" i="14"/>
  <c r="U25" i="14"/>
  <c r="AC17" i="14"/>
  <c r="L33" i="14"/>
  <c r="I24" i="18" l="1"/>
  <c r="F23" i="18"/>
  <c r="G7" i="18"/>
  <c r="G10" i="18" s="1"/>
  <c r="G6" i="18"/>
  <c r="F19" i="14"/>
  <c r="X5" i="14"/>
  <c r="Q14" i="14" s="1"/>
  <c r="M33" i="14" s="1"/>
  <c r="M34" i="14" l="1"/>
  <c r="K25" i="18"/>
  <c r="F26" i="18" s="1"/>
  <c r="F28" i="18" s="1"/>
  <c r="K23" i="18"/>
  <c r="F27" i="18" s="1"/>
  <c r="Q18" i="14" l="1"/>
  <c r="F29" i="18"/>
  <c r="P5" i="18" s="1"/>
  <c r="O5" i="18"/>
  <c r="Q33" i="14" l="1"/>
  <c r="Q35" i="14" s="1"/>
  <c r="M37" i="14"/>
  <c r="F30" i="18"/>
  <c r="Q5" i="18" s="1"/>
  <c r="M41" i="14" l="1"/>
  <c r="M38" i="14"/>
  <c r="Q23" i="14" s="1"/>
  <c r="Q42" i="14" s="1"/>
  <c r="Q45" i="14" l="1"/>
  <c r="Q44" i="14"/>
  <c r="M42" i="14"/>
  <c r="E7" i="14" s="1"/>
  <c r="F7" i="14" s="1"/>
  <c r="Q37" i="14" l="1"/>
  <c r="Q39" i="14" s="1"/>
  <c r="Q47" i="14" s="1"/>
  <c r="F9" i="14"/>
  <c r="F10" i="14" l="1"/>
  <c r="F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 xr:uid="{7E4BEB62-BDB4-4DF8-9C88-C2FA827CC318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 xr:uid="{982BEE0D-27E7-4D26-A05D-FE04A6EEDE62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<sst xmlns="http://schemas.openxmlformats.org/spreadsheetml/2006/main" count="310" uniqueCount="190">
  <si>
    <t>Total</t>
  </si>
  <si>
    <t>IVA</t>
  </si>
  <si>
    <t>Sub-Total</t>
  </si>
  <si>
    <t xml:space="preserve">Descripción </t>
  </si>
  <si>
    <t>Precio Total</t>
  </si>
  <si>
    <t>Cantidad de Imágenes a Digitalizar</t>
  </si>
  <si>
    <t>Valor Sectorial del Operario</t>
  </si>
  <si>
    <t>Analisis de Sueldos</t>
  </si>
  <si>
    <t>Recursos Varios</t>
  </si>
  <si>
    <t>Operario variable + 35%</t>
  </si>
  <si>
    <t>Decimos - vacaciones - IESS</t>
  </si>
  <si>
    <t>Nuevo esquema de calculo de Comisión</t>
  </si>
  <si>
    <t>Comisión</t>
  </si>
  <si>
    <t>Comisión (13% de subtotal)</t>
  </si>
  <si>
    <t>Margen de Ganancia</t>
  </si>
  <si>
    <t>Objetivo Margen de Utilidad</t>
  </si>
  <si>
    <t>Costo imágenes</t>
  </si>
  <si>
    <t>PVP Imágenes</t>
  </si>
  <si>
    <t>Insumos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</si>
  <si>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</si>
  <si>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</si>
  <si>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</si>
  <si>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</si>
  <si>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</si>
  <si>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</si>
  <si>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</si>
  <si>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</si>
  <si>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</si>
  <si>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</si>
  <si>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</si>
  <si>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</si>
  <si>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</si>
  <si>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</si>
  <si>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</si>
  <si>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</si>
  <si>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</si>
  <si>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</si>
  <si>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</si>
  <si>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</si>
  <si>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</si>
  <si>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</si>
  <si>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</si>
  <si>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</si>
  <si>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</si>
  <si>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</si>
  <si>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</si>
  <si>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</si>
  <si>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</si>
  <si>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</si>
  <si>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</si>
  <si>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</si>
  <si>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</si>
  <si>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</si>
  <si>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</si>
  <si>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</si>
  <si>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</si>
  <si>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</si>
  <si>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</si>
  <si>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</si>
  <si>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</si>
  <si>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</si>
  <si>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</si>
  <si>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</si>
  <si>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</si>
  <si>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>Digitalización e Indexación</t>
  </si>
  <si>
    <t>Preparación, Clasificación</t>
  </si>
  <si>
    <t>Cantidad</t>
  </si>
  <si>
    <t>Precio Unitario</t>
  </si>
  <si>
    <t>Imágenes</t>
  </si>
  <si>
    <t>Giga-Bites</t>
  </si>
  <si>
    <t xml:space="preserve"> Almacenamiento</t>
  </si>
  <si>
    <t>Propuesta Económica Digitalización e Indexación</t>
  </si>
  <si>
    <t>Calculo de Imágenes en GB</t>
  </si>
  <si>
    <t>Tipo</t>
  </si>
  <si>
    <t>Resolución</t>
  </si>
  <si>
    <t>Modos de Color</t>
  </si>
  <si>
    <t>200 Dpi</t>
  </si>
  <si>
    <t>300 Dpi</t>
  </si>
  <si>
    <t>Color a 24Bits</t>
  </si>
  <si>
    <t xml:space="preserve">Escala de grises a 8 Bits </t>
  </si>
  <si>
    <t>PDF sin Comprimir</t>
  </si>
  <si>
    <t>TIFF sin Comprimir</t>
  </si>
  <si>
    <t>B/N</t>
  </si>
  <si>
    <t>Color</t>
  </si>
  <si>
    <t>Formato de Img.</t>
  </si>
  <si>
    <t>Peso Unitario</t>
  </si>
  <si>
    <t>A2</t>
  </si>
  <si>
    <t>A3</t>
  </si>
  <si>
    <t>A4</t>
  </si>
  <si>
    <t>Size</t>
  </si>
  <si>
    <t xml:space="preserve">Imagen de Texto Impreso </t>
  </si>
  <si>
    <t xml:space="preserve">Imagen de Texto Manuscito </t>
  </si>
  <si>
    <t>Cant. De Imágenes</t>
  </si>
  <si>
    <t>Peso Doc en MB</t>
  </si>
  <si>
    <t>A5</t>
  </si>
  <si>
    <t>A2C</t>
  </si>
  <si>
    <t>A3C</t>
  </si>
  <si>
    <t>A4C</t>
  </si>
  <si>
    <t>A5C</t>
  </si>
  <si>
    <t>MB</t>
  </si>
  <si>
    <t>Peso Total de Img.</t>
  </si>
  <si>
    <t>1 Giga Byte</t>
  </si>
  <si>
    <t>Porcentaje Error</t>
  </si>
  <si>
    <t>Total de Imgenes</t>
  </si>
  <si>
    <t>Total Informacion</t>
  </si>
  <si>
    <t>Incremento Mensual</t>
  </si>
  <si>
    <t>GB</t>
  </si>
  <si>
    <t>Incremento Annual</t>
  </si>
  <si>
    <t>Informacion Annual</t>
  </si>
  <si>
    <t>0 - 100 GIGABYTES</t>
  </si>
  <si>
    <t>101 - 200 GIGABYTES</t>
  </si>
  <si>
    <t>201 - 300 GIGABYTES</t>
  </si>
  <si>
    <t>301 - 400 GIGABYTES</t>
  </si>
  <si>
    <t>401 - 500 GIGABYTES</t>
  </si>
  <si>
    <t>501 - 1000 GIGABYTES</t>
  </si>
  <si>
    <t>RANGOS DE ALMACENAMIENTO</t>
  </si>
  <si>
    <t>1001 - 2000 GIGABYTES</t>
  </si>
  <si>
    <t>MAS DE  10001  GIGABYTES</t>
  </si>
  <si>
    <t>2001 - 10000  GIGABYTES</t>
  </si>
  <si>
    <t>P.V.P. x  GB</t>
  </si>
  <si>
    <t>2 licencias BE Windream Business Edition para LAN Cliente Servidor</t>
  </si>
  <si>
    <t>2 licencia Windream Docview para LAN Cliente Servidor</t>
  </si>
  <si>
    <t>1 licencia Windream Management Console WMC</t>
  </si>
  <si>
    <t xml:space="preserve">1 licencia Windream Extension WMX </t>
  </si>
  <si>
    <t>20 licencias W2P2 Web Portal Pro de contribución</t>
  </si>
  <si>
    <t>64 licencias W2P Web Portal de consulta</t>
  </si>
  <si>
    <t>Implementación y Capacitación</t>
  </si>
  <si>
    <t>Viaticos de Hospedaje</t>
  </si>
  <si>
    <t>PRECIOS SOFTWARE DE CUSTODIA FISICA WINDREAM</t>
  </si>
  <si>
    <t>SOFTWARE DE CUSTODIA FISICA WINDREAM</t>
  </si>
  <si>
    <t>ABBYY FlexiCapture BPO</t>
  </si>
  <si>
    <t>Licencia para Externalización de Servicios.</t>
  </si>
  <si>
    <t>COMPONENTES</t>
  </si>
  <si>
    <t>REFERENCIAS</t>
  </si>
  <si>
    <t>PRECIO $US</t>
  </si>
  <si>
    <t>ABBYY FlexiCapture TPC Basis</t>
  </si>
  <si>
    <t>L11+LD1</t>
  </si>
  <si>
    <t>Soporte Anual para Basis (SM)</t>
  </si>
  <si>
    <t>SMB</t>
  </si>
  <si>
    <t>ABBYY FlexiCapture TPC</t>
  </si>
  <si>
    <t>TLB+LD1</t>
  </si>
  <si>
    <t>ABBYY FlexiCapture TPC Add-Ons</t>
  </si>
  <si>
    <t>TAO</t>
  </si>
  <si>
    <t>ABBYY FlexiCapture TP (SM)</t>
  </si>
  <si>
    <t>SMT+LD3</t>
  </si>
  <si>
    <t>Servicios Profesionales</t>
  </si>
  <si>
    <t>TPS+TD2</t>
  </si>
  <si>
    <t>Transferencia de Conocimiento</t>
  </si>
  <si>
    <t>TKT+TD3</t>
  </si>
  <si>
    <t>SOFTWARE DE DIGITALIZACION ABBYY</t>
  </si>
  <si>
    <t>OPERARIOS</t>
  </si>
  <si>
    <t>Páginas totales: 100K; Modalidad de Conteo: TDC</t>
  </si>
  <si>
    <t>Total de Pags. X Licencia</t>
  </si>
  <si>
    <t>Costo por Pagina</t>
  </si>
  <si>
    <t>OPE1</t>
  </si>
  <si>
    <t>TIMPO DIAS</t>
  </si>
  <si>
    <t xml:space="preserve">TOT </t>
  </si>
  <si>
    <t>OPE2</t>
  </si>
  <si>
    <t>OPE3</t>
  </si>
  <si>
    <t>OPE4</t>
  </si>
  <si>
    <t>Costo + Margen + Comision</t>
  </si>
  <si>
    <t xml:space="preserve">Computador </t>
  </si>
  <si>
    <t>Decimo Tercero</t>
  </si>
  <si>
    <t>Decimo Cuarto</t>
  </si>
  <si>
    <t>Vacaciones</t>
  </si>
  <si>
    <t>Fondo de Reserva</t>
  </si>
  <si>
    <t>Aporte Patronal</t>
  </si>
  <si>
    <t>Total de Impuestos</t>
  </si>
  <si>
    <t>Costo Operario</t>
  </si>
  <si>
    <t>TOTAL OPERARIOS</t>
  </si>
  <si>
    <t>Gastos</t>
  </si>
  <si>
    <t>Subtotal</t>
  </si>
  <si>
    <t>Valor del Proyecto</t>
  </si>
  <si>
    <t>Utilidad Bruta</t>
  </si>
  <si>
    <t>Comision Gerencia Comercial</t>
  </si>
  <si>
    <t>Utilidad Neta</t>
  </si>
  <si>
    <t>Comision Asesor Comercial</t>
  </si>
  <si>
    <t>Total de Costos</t>
  </si>
  <si>
    <t>Costos de Sistemas de Digitalizacion y Custodia Digital</t>
  </si>
  <si>
    <t>Costos Personal Operativo, Software y Custodia Digital</t>
  </si>
  <si>
    <t xml:space="preserve">COSTO TOTAL DE OPERARIOS </t>
  </si>
  <si>
    <t>Costos Personal Operaciones por Tiempo de Proyecto</t>
  </si>
  <si>
    <t>Personal de Operaciones</t>
  </si>
  <si>
    <t>Sistemas de Digitalización</t>
  </si>
  <si>
    <t>Total Costos + Contingente</t>
  </si>
  <si>
    <t>Minimización del Riesgo</t>
  </si>
  <si>
    <t>% Contingencia</t>
  </si>
  <si>
    <t>Minimización de Riesgo</t>
  </si>
  <si>
    <t>COMISIONES COMERCIALES</t>
  </si>
  <si>
    <t>Comision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</si>
</sst>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(&quot;$&quot;\ * #,##0.00_);_(&quot;$&quot;\ * \(#,##0.00\);_(&quot;$&quot;\ * &quot;-&quot;??_);_(@_)"/>
    <numFmt numFmtId="164" formatCode="_-&quot;$&quot;* #,##0.00_-;\-&quot;$&quot;* #,##0.00_-;_-&quot;$&quot;* &quot;-&quot;??_-;_-@_-"/>
    <numFmt numFmtId="165" formatCode="_-* #,##0.00\ _€_-;\-* #,##0.00\ _€_-;_-* &quot;-&quot;??\ _€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  <numFmt numFmtId="172" formatCode="_-[$$-409]* #,##0.00_ ;_-[$$-409]* \-#,##0.00\ ;_-[$$-409]* &quot;-&quot;??_ ;_-@_ "/>
    <numFmt numFmtId="173" formatCode="0.000"/>
    <numFmt numFmtId="174" formatCode="_-[$$-2C0A]\ * #,##0.00_-;\-[$$-2C0A]\ * #,##0.00_-;_-[$$-2C0A]\ * &quot;-&quot;??_-;_-@_-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39">
    <xf numFmtId="0" fontId="0" fillId="0" borderId="0" xfId="0"/>
    <xf numFmtId="0" fontId="5" fillId="4" borderId="0" xfId="0" applyFont="1" applyFill="1"/>
    <xf numFmtId="0" fontId="4" fillId="4" borderId="0" xfId="0" applyFont="1" applyFill="1"/>
    <xf numFmtId="171" fontId="5" fillId="4" borderId="5" xfId="1" applyNumberFormat="1" applyFont="1" applyFill="1" applyBorder="1" applyAlignment="1">
      <alignment horizontal="center"/>
    </xf>
    <xf numFmtId="171" fontId="4" fillId="4" borderId="4" xfId="0" applyNumberFormat="1" applyFont="1" applyFill="1" applyBorder="1"/>
    <xf numFmtId="171" fontId="4" fillId="4" borderId="2" xfId="0" applyNumberFormat="1" applyFont="1" applyFill="1" applyBorder="1"/>
    <xf numFmtId="0" fontId="5" fillId="4" borderId="0" xfId="0" applyFont="1" applyFill="1" applyBorder="1" applyAlignment="1">
      <alignment horizontal="center"/>
    </xf>
    <xf numFmtId="167" fontId="0" fillId="0" borderId="0" xfId="0" applyNumberFormat="1"/>
    <xf numFmtId="0" fontId="6" fillId="11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6" fillId="10" borderId="21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/>
    </xf>
    <xf numFmtId="0" fontId="6" fillId="10" borderId="2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2" xfId="0" applyNumberFormat="1" applyBorder="1"/>
    <xf numFmtId="2" fontId="0" fillId="0" borderId="28" xfId="0" applyNumberFormat="1" applyBorder="1"/>
    <xf numFmtId="0" fontId="6" fillId="11" borderId="24" xfId="0" applyFont="1" applyFill="1" applyBorder="1" applyAlignment="1">
      <alignment horizontal="center" vertical="top"/>
    </xf>
    <xf numFmtId="2" fontId="10" fillId="5" borderId="14" xfId="0" applyNumberFormat="1" applyFont="1" applyFill="1" applyBorder="1" applyAlignment="1">
      <alignment horizontal="center"/>
    </xf>
    <xf numFmtId="167" fontId="10" fillId="5" borderId="15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9" xfId="0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29" xfId="0" applyNumberFormat="1" applyBorder="1"/>
    <xf numFmtId="2" fontId="0" fillId="0" borderId="10" xfId="0" applyNumberFormat="1" applyBorder="1"/>
    <xf numFmtId="0" fontId="6" fillId="0" borderId="0" xfId="0" applyFont="1"/>
    <xf numFmtId="0" fontId="4" fillId="11" borderId="30" xfId="0" applyFont="1" applyFill="1" applyBorder="1" applyAlignment="1">
      <alignment horizontal="center"/>
    </xf>
    <xf numFmtId="0" fontId="4" fillId="11" borderId="31" xfId="0" applyFont="1" applyFill="1" applyBorder="1" applyAlignment="1">
      <alignment horizontal="center"/>
    </xf>
    <xf numFmtId="0" fontId="4" fillId="11" borderId="32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6" fillId="11" borderId="2" xfId="0" applyFont="1" applyFill="1" applyBorder="1" applyAlignment="1">
      <alignment horizontal="center"/>
    </xf>
    <xf numFmtId="0" fontId="6" fillId="11" borderId="14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6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6" fillId="11" borderId="30" xfId="0" applyFont="1" applyFill="1" applyBorder="1" applyAlignment="1">
      <alignment horizontal="left"/>
    </xf>
    <xf numFmtId="0" fontId="0" fillId="0" borderId="14" xfId="0" applyBorder="1"/>
    <xf numFmtId="0" fontId="4" fillId="11" borderId="11" xfId="0" applyFont="1" applyFill="1" applyBorder="1" applyAlignment="1">
      <alignment horizontal="center"/>
    </xf>
    <xf numFmtId="0" fontId="4" fillId="11" borderId="13" xfId="0" applyFont="1" applyFill="1" applyBorder="1" applyAlignment="1">
      <alignment horizontal="center"/>
    </xf>
    <xf numFmtId="0" fontId="4" fillId="11" borderId="12" xfId="0" applyFont="1" applyFill="1" applyBorder="1" applyAlignment="1">
      <alignment horizontal="center"/>
    </xf>
    <xf numFmtId="0" fontId="4" fillId="11" borderId="14" xfId="0" applyFont="1" applyFill="1" applyBorder="1" applyAlignment="1">
      <alignment horizontal="left"/>
    </xf>
    <xf numFmtId="2" fontId="0" fillId="0" borderId="14" xfId="0" applyNumberFormat="1" applyBorder="1"/>
    <xf numFmtId="0" fontId="0" fillId="0" borderId="33" xfId="0" applyBorder="1"/>
    <xf numFmtId="0" fontId="5" fillId="4" borderId="34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35" xfId="0" applyNumberFormat="1" applyBorder="1"/>
    <xf numFmtId="0" fontId="6" fillId="11" borderId="14" xfId="0" applyFont="1" applyFill="1" applyBorder="1"/>
    <xf numFmtId="0" fontId="5" fillId="4" borderId="36" xfId="0" applyFont="1" applyFill="1" applyBorder="1" applyAlignment="1"/>
    <xf numFmtId="171" fontId="5" fillId="4" borderId="33" xfId="1" applyNumberFormat="1" applyFont="1" applyFill="1" applyBorder="1" applyAlignment="1">
      <alignment horizontal="center"/>
    </xf>
    <xf numFmtId="0" fontId="6" fillId="11" borderId="6" xfId="0" applyFont="1" applyFill="1" applyBorder="1" applyAlignment="1">
      <alignment horizontal="left"/>
    </xf>
    <xf numFmtId="0" fontId="6" fillId="11" borderId="31" xfId="0" applyFont="1" applyFill="1" applyBorder="1" applyAlignment="1">
      <alignment horizontal="center"/>
    </xf>
    <xf numFmtId="0" fontId="0" fillId="0" borderId="37" xfId="0" applyBorder="1"/>
    <xf numFmtId="0" fontId="6" fillId="0" borderId="0" xfId="0" applyFont="1" applyAlignment="1">
      <alignment horizontal="center"/>
    </xf>
    <xf numFmtId="0" fontId="0" fillId="0" borderId="2" xfId="0" applyBorder="1"/>
    <xf numFmtId="9" fontId="0" fillId="0" borderId="37" xfId="0" applyNumberFormat="1" applyBorder="1"/>
    <xf numFmtId="0" fontId="3" fillId="0" borderId="36" xfId="0" applyFont="1" applyBorder="1" applyAlignment="1"/>
    <xf numFmtId="2" fontId="0" fillId="0" borderId="33" xfId="0" applyNumberFormat="1" applyBorder="1"/>
    <xf numFmtId="0" fontId="0" fillId="0" borderId="36" xfId="0" applyBorder="1" applyAlignment="1"/>
    <xf numFmtId="9" fontId="0" fillId="0" borderId="0" xfId="0" applyNumberFormat="1" applyAlignment="1">
      <alignment horizontal="center"/>
    </xf>
    <xf numFmtId="0" fontId="5" fillId="4" borderId="38" xfId="0" applyFont="1" applyFill="1" applyBorder="1" applyAlignment="1"/>
    <xf numFmtId="9" fontId="5" fillId="4" borderId="8" xfId="0" applyNumberFormat="1" applyFont="1" applyFill="1" applyBorder="1" applyAlignment="1">
      <alignment horizontal="center"/>
    </xf>
    <xf numFmtId="171" fontId="4" fillId="0" borderId="3" xfId="1" applyNumberFormat="1" applyFont="1" applyFill="1" applyBorder="1" applyAlignment="1">
      <alignment horizontal="center"/>
    </xf>
    <xf numFmtId="0" fontId="11" fillId="2" borderId="0" xfId="0" applyFont="1" applyFill="1"/>
    <xf numFmtId="0" fontId="12" fillId="10" borderId="1" xfId="0" applyFont="1" applyFill="1" applyBorder="1"/>
    <xf numFmtId="0" fontId="12" fillId="2" borderId="14" xfId="0" applyFont="1" applyFill="1" applyBorder="1"/>
    <xf numFmtId="0" fontId="12" fillId="2" borderId="0" xfId="0" applyFont="1" applyFill="1" applyBorder="1"/>
    <xf numFmtId="0" fontId="13" fillId="4" borderId="0" xfId="0" applyFont="1" applyFill="1" applyBorder="1"/>
    <xf numFmtId="166" fontId="13" fillId="0" borderId="0" xfId="1" applyNumberFormat="1" applyFont="1" applyFill="1" applyBorder="1" applyAlignment="1">
      <alignment horizontal="center"/>
    </xf>
    <xf numFmtId="0" fontId="11" fillId="2" borderId="1" xfId="0" applyFont="1" applyFill="1" applyBorder="1"/>
    <xf numFmtId="168" fontId="11" fillId="2" borderId="0" xfId="0" applyNumberFormat="1" applyFont="1" applyFill="1"/>
    <xf numFmtId="0" fontId="12" fillId="2" borderId="18" xfId="0" applyFont="1" applyFill="1" applyBorder="1"/>
    <xf numFmtId="168" fontId="12" fillId="2" borderId="22" xfId="0" applyNumberFormat="1" applyFont="1" applyFill="1" applyBorder="1"/>
    <xf numFmtId="0" fontId="11" fillId="0" borderId="18" xfId="0" applyFont="1" applyFill="1" applyBorder="1"/>
    <xf numFmtId="168" fontId="11" fillId="0" borderId="27" xfId="0" applyNumberFormat="1" applyFont="1" applyFill="1" applyBorder="1" applyAlignment="1">
      <alignment horizontal="right"/>
    </xf>
    <xf numFmtId="164" fontId="11" fillId="2" borderId="0" xfId="0" applyNumberFormat="1" applyFont="1" applyFill="1"/>
    <xf numFmtId="0" fontId="12" fillId="2" borderId="19" xfId="0" applyFont="1" applyFill="1" applyBorder="1"/>
    <xf numFmtId="168" fontId="12" fillId="2" borderId="40" xfId="0" applyNumberFormat="1" applyFont="1" applyFill="1" applyBorder="1"/>
    <xf numFmtId="0" fontId="11" fillId="0" borderId="19" xfId="0" applyFont="1" applyFill="1" applyBorder="1"/>
    <xf numFmtId="168" fontId="11" fillId="0" borderId="40" xfId="0" applyNumberFormat="1" applyFont="1" applyFill="1" applyBorder="1"/>
    <xf numFmtId="0" fontId="11" fillId="2" borderId="0" xfId="0" applyFont="1" applyFill="1" applyBorder="1"/>
    <xf numFmtId="0" fontId="12" fillId="0" borderId="19" xfId="0" applyFont="1" applyFill="1" applyBorder="1"/>
    <xf numFmtId="168" fontId="12" fillId="0" borderId="40" xfId="0" applyNumberFormat="1" applyFont="1" applyFill="1" applyBorder="1"/>
    <xf numFmtId="1" fontId="11" fillId="2" borderId="1" xfId="0" applyNumberFormat="1" applyFont="1" applyFill="1" applyBorder="1"/>
    <xf numFmtId="0" fontId="13" fillId="3" borderId="14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1" fillId="2" borderId="19" xfId="0" applyFont="1" applyFill="1" applyBorder="1"/>
    <xf numFmtId="0" fontId="11" fillId="2" borderId="5" xfId="0" applyFont="1" applyFill="1" applyBorder="1"/>
    <xf numFmtId="167" fontId="11" fillId="2" borderId="0" xfId="0" applyNumberFormat="1" applyFont="1" applyFill="1"/>
    <xf numFmtId="0" fontId="15" fillId="4" borderId="30" xfId="0" applyFont="1" applyFill="1" applyBorder="1" applyAlignment="1">
      <alignment horizontal="center" wrapText="1"/>
    </xf>
    <xf numFmtId="0" fontId="11" fillId="0" borderId="30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170" fontId="15" fillId="4" borderId="32" xfId="0" applyNumberFormat="1" applyFont="1" applyFill="1" applyBorder="1" applyAlignment="1">
      <alignment horizontal="center"/>
    </xf>
    <xf numFmtId="171" fontId="15" fillId="4" borderId="5" xfId="1" applyNumberFormat="1" applyFont="1" applyFill="1" applyBorder="1" applyAlignment="1">
      <alignment horizontal="center"/>
    </xf>
    <xf numFmtId="0" fontId="11" fillId="0" borderId="20" xfId="0" applyFont="1" applyFill="1" applyBorder="1"/>
    <xf numFmtId="0" fontId="15" fillId="4" borderId="6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171" fontId="15" fillId="4" borderId="7" xfId="0" applyNumberFormat="1" applyFont="1" applyFill="1" applyBorder="1" applyAlignment="1">
      <alignment horizontal="center"/>
    </xf>
    <xf numFmtId="171" fontId="15" fillId="4" borderId="7" xfId="1" applyNumberFormat="1" applyFont="1" applyFill="1" applyBorder="1" applyAlignment="1">
      <alignment horizontal="center"/>
    </xf>
    <xf numFmtId="0" fontId="15" fillId="4" borderId="0" xfId="0" applyFont="1" applyFill="1"/>
    <xf numFmtId="171" fontId="13" fillId="4" borderId="4" xfId="0" applyNumberFormat="1" applyFont="1" applyFill="1" applyBorder="1"/>
    <xf numFmtId="171" fontId="15" fillId="4" borderId="31" xfId="1" applyNumberFormat="1" applyFont="1" applyFill="1" applyBorder="1" applyAlignment="1">
      <alignment horizontal="center"/>
    </xf>
    <xf numFmtId="171" fontId="15" fillId="4" borderId="39" xfId="1" applyNumberFormat="1" applyFont="1" applyFill="1" applyBorder="1" applyAlignment="1">
      <alignment horizontal="center"/>
    </xf>
    <xf numFmtId="0" fontId="11" fillId="17" borderId="18" xfId="0" applyFont="1" applyFill="1" applyBorder="1"/>
    <xf numFmtId="0" fontId="11" fillId="0" borderId="0" xfId="0" applyFont="1" applyFill="1" applyBorder="1"/>
    <xf numFmtId="0" fontId="12" fillId="11" borderId="1" xfId="0" applyFont="1" applyFill="1" applyBorder="1"/>
    <xf numFmtId="0" fontId="13" fillId="4" borderId="0" xfId="0" applyFont="1" applyFill="1"/>
    <xf numFmtId="171" fontId="13" fillId="4" borderId="2" xfId="0" applyNumberFormat="1" applyFont="1" applyFill="1" applyBorder="1"/>
    <xf numFmtId="171" fontId="13" fillId="3" borderId="14" xfId="1" applyNumberFormat="1" applyFont="1" applyFill="1" applyBorder="1" applyAlignment="1">
      <alignment horizontal="center"/>
    </xf>
    <xf numFmtId="0" fontId="11" fillId="17" borderId="19" xfId="0" applyFont="1" applyFill="1" applyBorder="1"/>
    <xf numFmtId="166" fontId="11" fillId="0" borderId="18" xfId="1" applyFont="1" applyFill="1" applyBorder="1" applyAlignment="1">
      <alignment horizontal="center"/>
    </xf>
    <xf numFmtId="0" fontId="12" fillId="2" borderId="1" xfId="0" applyFont="1" applyFill="1" applyBorder="1"/>
    <xf numFmtId="0" fontId="11" fillId="17" borderId="20" xfId="0" applyFont="1" applyFill="1" applyBorder="1" applyAlignment="1">
      <alignment horizontal="right"/>
    </xf>
    <xf numFmtId="0" fontId="11" fillId="0" borderId="19" xfId="0" applyFont="1" applyBorder="1"/>
    <xf numFmtId="166" fontId="11" fillId="0" borderId="19" xfId="1" applyFont="1" applyFill="1" applyBorder="1" applyAlignment="1">
      <alignment horizontal="center"/>
    </xf>
    <xf numFmtId="0" fontId="11" fillId="15" borderId="18" xfId="0" applyFont="1" applyFill="1" applyBorder="1"/>
    <xf numFmtId="0" fontId="11" fillId="15" borderId="19" xfId="0" applyFont="1" applyFill="1" applyBorder="1"/>
    <xf numFmtId="44" fontId="11" fillId="0" borderId="0" xfId="5" applyNumberFormat="1" applyFont="1" applyFill="1" applyBorder="1"/>
    <xf numFmtId="0" fontId="11" fillId="2" borderId="0" xfId="0" applyFont="1" applyFill="1" applyBorder="1" applyAlignment="1">
      <alignment horizontal="right"/>
    </xf>
    <xf numFmtId="168" fontId="12" fillId="8" borderId="14" xfId="0" applyNumberFormat="1" applyFont="1" applyFill="1" applyBorder="1"/>
    <xf numFmtId="0" fontId="15" fillId="4" borderId="4" xfId="0" applyFont="1" applyFill="1" applyBorder="1" applyAlignment="1">
      <alignment horizontal="center" wrapText="1"/>
    </xf>
    <xf numFmtId="4" fontId="15" fillId="4" borderId="30" xfId="0" applyNumberFormat="1" applyFont="1" applyFill="1" applyBorder="1" applyAlignment="1">
      <alignment horizontal="center"/>
    </xf>
    <xf numFmtId="3" fontId="15" fillId="4" borderId="32" xfId="0" applyNumberFormat="1" applyFont="1" applyFill="1" applyBorder="1" applyAlignment="1">
      <alignment horizontal="center"/>
    </xf>
    <xf numFmtId="172" fontId="15" fillId="0" borderId="32" xfId="0" applyNumberFormat="1" applyFont="1" applyBorder="1"/>
    <xf numFmtId="0" fontId="11" fillId="15" borderId="20" xfId="0" applyFont="1" applyFill="1" applyBorder="1" applyAlignment="1">
      <alignment horizontal="right"/>
    </xf>
    <xf numFmtId="171" fontId="15" fillId="4" borderId="15" xfId="1" applyNumberFormat="1" applyFont="1" applyFill="1" applyBorder="1" applyAlignment="1">
      <alignment horizontal="center"/>
    </xf>
    <xf numFmtId="0" fontId="11" fillId="16" borderId="18" xfId="0" applyFont="1" applyFill="1" applyBorder="1"/>
    <xf numFmtId="0" fontId="16" fillId="10" borderId="1" xfId="0" applyFont="1" applyFill="1" applyBorder="1"/>
    <xf numFmtId="0" fontId="11" fillId="16" borderId="19" xfId="0" applyFont="1" applyFill="1" applyBorder="1"/>
    <xf numFmtId="0" fontId="11" fillId="2" borderId="18" xfId="0" applyFont="1" applyFill="1" applyBorder="1"/>
    <xf numFmtId="9" fontId="11" fillId="2" borderId="22" xfId="0" applyNumberFormat="1" applyFont="1" applyFill="1" applyBorder="1"/>
    <xf numFmtId="0" fontId="11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1" fillId="16" borderId="20" xfId="0" applyFont="1" applyFill="1" applyBorder="1" applyAlignment="1">
      <alignment horizontal="right"/>
    </xf>
    <xf numFmtId="0" fontId="11" fillId="5" borderId="20" xfId="0" applyFont="1" applyFill="1" applyBorder="1"/>
    <xf numFmtId="2" fontId="11" fillId="5" borderId="28" xfId="0" applyNumberFormat="1" applyFont="1" applyFill="1" applyBorder="1"/>
    <xf numFmtId="0" fontId="11" fillId="0" borderId="20" xfId="0" applyFont="1" applyBorder="1"/>
    <xf numFmtId="166" fontId="11" fillId="0" borderId="20" xfId="1" applyFont="1" applyFill="1" applyBorder="1" applyAlignment="1">
      <alignment horizontal="center"/>
    </xf>
    <xf numFmtId="0" fontId="11" fillId="14" borderId="18" xfId="0" applyFont="1" applyFill="1" applyBorder="1"/>
    <xf numFmtId="0" fontId="15" fillId="2" borderId="0" xfId="0" applyFont="1" applyFill="1" applyBorder="1"/>
    <xf numFmtId="171" fontId="13" fillId="2" borderId="0" xfId="0" applyNumberFormat="1" applyFont="1" applyFill="1" applyBorder="1"/>
    <xf numFmtId="171" fontId="15" fillId="2" borderId="0" xfId="1" applyNumberFormat="1" applyFont="1" applyFill="1" applyBorder="1" applyAlignment="1">
      <alignment horizontal="center"/>
    </xf>
    <xf numFmtId="0" fontId="11" fillId="14" borderId="19" xfId="0" applyFont="1" applyFill="1" applyBorder="1"/>
    <xf numFmtId="0" fontId="11" fillId="14" borderId="20" xfId="0" applyFont="1" applyFill="1" applyBorder="1" applyAlignment="1">
      <alignment horizontal="right"/>
    </xf>
    <xf numFmtId="0" fontId="17" fillId="5" borderId="14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 vertical="center"/>
    </xf>
    <xf numFmtId="3" fontId="17" fillId="5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171" fontId="17" fillId="5" borderId="1" xfId="1" applyNumberFormat="1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wrapText="1"/>
    </xf>
    <xf numFmtId="3" fontId="12" fillId="5" borderId="12" xfId="0" applyNumberFormat="1" applyFont="1" applyFill="1" applyBorder="1"/>
    <xf numFmtId="168" fontId="11" fillId="8" borderId="14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171" fontId="15" fillId="0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68" fontId="11" fillId="0" borderId="18" xfId="4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right"/>
    </xf>
    <xf numFmtId="164" fontId="11" fillId="0" borderId="19" xfId="0" applyNumberFormat="1" applyFont="1" applyFill="1" applyBorder="1" applyAlignment="1">
      <alignment horizontal="center"/>
    </xf>
    <xf numFmtId="9" fontId="12" fillId="5" borderId="12" xfId="0" applyNumberFormat="1" applyFont="1" applyFill="1" applyBorder="1"/>
    <xf numFmtId="0" fontId="11" fillId="0" borderId="20" xfId="0" applyFont="1" applyFill="1" applyBorder="1" applyAlignment="1">
      <alignment horizontal="center"/>
    </xf>
    <xf numFmtId="168" fontId="11" fillId="2" borderId="18" xfId="0" applyNumberFormat="1" applyFont="1" applyFill="1" applyBorder="1"/>
    <xf numFmtId="0" fontId="11" fillId="2" borderId="17" xfId="0" applyFont="1" applyFill="1" applyBorder="1"/>
    <xf numFmtId="168" fontId="11" fillId="2" borderId="41" xfId="0" applyNumberFormat="1" applyFont="1" applyFill="1" applyBorder="1"/>
    <xf numFmtId="0" fontId="15" fillId="0" borderId="0" xfId="0" applyFont="1" applyFill="1" applyBorder="1" applyAlignment="1">
      <alignment horizontal="center"/>
    </xf>
    <xf numFmtId="1" fontId="12" fillId="12" borderId="1" xfId="0" applyNumberFormat="1" applyFont="1" applyFill="1" applyBorder="1" applyAlignment="1">
      <alignment horizontal="center" vertical="center"/>
    </xf>
    <xf numFmtId="0" fontId="12" fillId="12" borderId="1" xfId="0" applyFont="1" applyFill="1" applyBorder="1" applyAlignment="1">
      <alignment horizontal="left"/>
    </xf>
    <xf numFmtId="0" fontId="12" fillId="0" borderId="1" xfId="0" applyFont="1" applyFill="1" applyBorder="1"/>
    <xf numFmtId="0" fontId="11" fillId="5" borderId="1" xfId="0" applyFont="1" applyFill="1" applyBorder="1" applyAlignment="1">
      <alignment horizontal="left"/>
    </xf>
    <xf numFmtId="9" fontId="11" fillId="2" borderId="0" xfId="5" applyFont="1" applyFill="1"/>
    <xf numFmtId="168" fontId="11" fillId="2" borderId="20" xfId="0" applyNumberFormat="1" applyFont="1" applyFill="1" applyBorder="1"/>
    <xf numFmtId="0" fontId="12" fillId="5" borderId="1" xfId="0" applyFont="1" applyFill="1" applyBorder="1" applyAlignment="1">
      <alignment horizontal="center" vertical="center"/>
    </xf>
    <xf numFmtId="0" fontId="14" fillId="0" borderId="1" xfId="0" applyFont="1" applyFill="1" applyBorder="1"/>
    <xf numFmtId="2" fontId="14" fillId="2" borderId="1" xfId="0" applyNumberFormat="1" applyFont="1" applyFill="1" applyBorder="1" applyAlignment="1">
      <alignment horizontal="left"/>
    </xf>
    <xf numFmtId="0" fontId="11" fillId="5" borderId="2" xfId="0" applyFont="1" applyFill="1" applyBorder="1"/>
    <xf numFmtId="169" fontId="11" fillId="5" borderId="14" xfId="0" applyNumberFormat="1" applyFont="1" applyFill="1" applyBorder="1"/>
    <xf numFmtId="0" fontId="11" fillId="2" borderId="24" xfId="0" applyFont="1" applyFill="1" applyBorder="1"/>
    <xf numFmtId="0" fontId="11" fillId="2" borderId="26" xfId="0" applyFont="1" applyFill="1" applyBorder="1"/>
    <xf numFmtId="9" fontId="11" fillId="2" borderId="24" xfId="0" applyNumberFormat="1" applyFont="1" applyFill="1" applyBorder="1"/>
    <xf numFmtId="0" fontId="18" fillId="13" borderId="14" xfId="0" applyFont="1" applyFill="1" applyBorder="1" applyAlignment="1">
      <alignment horizontal="center" vertical="center"/>
    </xf>
    <xf numFmtId="0" fontId="19" fillId="0" borderId="31" xfId="0" applyFont="1" applyBorder="1" applyAlignment="1">
      <alignment vertical="center"/>
    </xf>
    <xf numFmtId="2" fontId="11" fillId="2" borderId="24" xfId="0" applyNumberFormat="1" applyFont="1" applyFill="1" applyBorder="1"/>
    <xf numFmtId="0" fontId="19" fillId="0" borderId="39" xfId="0" applyFont="1" applyBorder="1" applyAlignment="1">
      <alignment vertical="center"/>
    </xf>
    <xf numFmtId="9" fontId="11" fillId="2" borderId="26" xfId="0" applyNumberFormat="1" applyFont="1" applyFill="1" applyBorder="1" applyAlignment="1">
      <alignment horizontal="left"/>
    </xf>
    <xf numFmtId="1" fontId="11" fillId="2" borderId="24" xfId="0" applyNumberFormat="1" applyFont="1" applyFill="1" applyBorder="1"/>
    <xf numFmtId="0" fontId="14" fillId="12" borderId="1" xfId="0" applyFont="1" applyFill="1" applyBorder="1"/>
    <xf numFmtId="2" fontId="14" fillId="12" borderId="24" xfId="0" applyNumberFormat="1" applyFont="1" applyFill="1" applyBorder="1"/>
    <xf numFmtId="0" fontId="14" fillId="12" borderId="26" xfId="0" applyFont="1" applyFill="1" applyBorder="1"/>
    <xf numFmtId="0" fontId="19" fillId="0" borderId="15" xfId="0" applyFont="1" applyBorder="1" applyAlignment="1">
      <alignment vertical="center"/>
    </xf>
    <xf numFmtId="0" fontId="11" fillId="2" borderId="14" xfId="0" applyFont="1" applyFill="1" applyBorder="1" applyAlignment="1">
      <alignment horizontal="center"/>
    </xf>
    <xf numFmtId="0" fontId="11" fillId="2" borderId="14" xfId="0" applyFont="1" applyFill="1" applyBorder="1"/>
    <xf numFmtId="164" fontId="11" fillId="2" borderId="14" xfId="0" applyNumberFormat="1" applyFont="1" applyFill="1" applyBorder="1"/>
    <xf numFmtId="0" fontId="11" fillId="2" borderId="39" xfId="0" applyFont="1" applyFill="1" applyBorder="1" applyAlignment="1">
      <alignment horizontal="center" vertical="center"/>
    </xf>
    <xf numFmtId="0" fontId="11" fillId="2" borderId="31" xfId="0" applyFont="1" applyFill="1" applyBorder="1"/>
    <xf numFmtId="0" fontId="11" fillId="2" borderId="31" xfId="0" applyFont="1" applyFill="1" applyBorder="1" applyAlignment="1">
      <alignment horizontal="center" vertical="center"/>
    </xf>
    <xf numFmtId="164" fontId="11" fillId="2" borderId="31" xfId="0" applyNumberFormat="1" applyFont="1" applyFill="1" applyBorder="1" applyAlignment="1">
      <alignment horizontal="center" vertical="center"/>
    </xf>
    <xf numFmtId="0" fontId="11" fillId="2" borderId="39" xfId="0" applyFont="1" applyFill="1" applyBorder="1"/>
    <xf numFmtId="164" fontId="11" fillId="2" borderId="39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5" xfId="0" applyFont="1" applyFill="1" applyBorder="1"/>
    <xf numFmtId="164" fontId="11" fillId="2" borderId="15" xfId="0" applyNumberFormat="1" applyFont="1" applyFill="1" applyBorder="1" applyAlignment="1">
      <alignment horizontal="center" vertical="center"/>
    </xf>
    <xf numFmtId="0" fontId="14" fillId="7" borderId="14" xfId="0" applyFont="1" applyFill="1" applyBorder="1" applyAlignment="1">
      <alignment horizontal="center" vertical="center"/>
    </xf>
    <xf numFmtId="1" fontId="11" fillId="2" borderId="14" xfId="0" applyNumberFormat="1" applyFont="1" applyFill="1" applyBorder="1"/>
    <xf numFmtId="0" fontId="14" fillId="12" borderId="14" xfId="0" applyFont="1" applyFill="1" applyBorder="1" applyAlignment="1">
      <alignment horizontal="center" vertical="center"/>
    </xf>
    <xf numFmtId="173" fontId="11" fillId="2" borderId="14" xfId="5" applyNumberFormat="1" applyFont="1" applyFill="1" applyBorder="1"/>
    <xf numFmtId="164" fontId="3" fillId="2" borderId="1" xfId="7" applyFont="1" applyFill="1" applyBorder="1"/>
    <xf numFmtId="0" fontId="13" fillId="0" borderId="0" xfId="0" applyFont="1" applyFill="1" applyBorder="1" applyAlignment="1">
      <alignment horizontal="center"/>
    </xf>
    <xf numFmtId="0" fontId="3" fillId="2" borderId="18" xfId="0" applyFont="1" applyFill="1" applyBorder="1"/>
    <xf numFmtId="0" fontId="3" fillId="2" borderId="22" xfId="0" applyFont="1" applyFill="1" applyBorder="1" applyAlignment="1">
      <alignment horizontal="center" vertical="center"/>
    </xf>
    <xf numFmtId="168" fontId="3" fillId="2" borderId="22" xfId="0" applyNumberFormat="1" applyFont="1" applyFill="1" applyBorder="1"/>
    <xf numFmtId="0" fontId="3" fillId="2" borderId="31" xfId="0" applyFont="1" applyFill="1" applyBorder="1"/>
    <xf numFmtId="0" fontId="3" fillId="2" borderId="32" xfId="0" applyFont="1" applyFill="1" applyBorder="1" applyAlignment="1">
      <alignment horizontal="center" vertical="center"/>
    </xf>
    <xf numFmtId="168" fontId="3" fillId="2" borderId="32" xfId="0" applyNumberFormat="1" applyFont="1" applyFill="1" applyBorder="1"/>
    <xf numFmtId="0" fontId="3" fillId="2" borderId="14" xfId="0" applyFont="1" applyFill="1" applyBorder="1"/>
    <xf numFmtId="10" fontId="3" fillId="2" borderId="3" xfId="5" applyNumberFormat="1" applyFont="1" applyFill="1" applyBorder="1" applyAlignment="1">
      <alignment horizontal="center" vertical="center"/>
    </xf>
    <xf numFmtId="168" fontId="3" fillId="2" borderId="3" xfId="0" applyNumberFormat="1" applyFont="1" applyFill="1" applyBorder="1"/>
    <xf numFmtId="174" fontId="3" fillId="2" borderId="5" xfId="0" applyNumberFormat="1" applyFont="1" applyFill="1" applyBorder="1"/>
    <xf numFmtId="0" fontId="12" fillId="0" borderId="15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168" fontId="3" fillId="9" borderId="28" xfId="0" applyNumberFormat="1" applyFont="1" applyFill="1" applyBorder="1"/>
    <xf numFmtId="0" fontId="3" fillId="2" borderId="1" xfId="0" applyFont="1" applyFill="1" applyBorder="1"/>
    <xf numFmtId="174" fontId="3" fillId="2" borderId="1" xfId="0" applyNumberFormat="1" applyFont="1" applyFill="1" applyBorder="1"/>
    <xf numFmtId="0" fontId="12" fillId="5" borderId="1" xfId="0" applyFont="1" applyFill="1" applyBorder="1"/>
    <xf numFmtId="168" fontId="12" fillId="5" borderId="1" xfId="0" applyNumberFormat="1" applyFont="1" applyFill="1" applyBorder="1"/>
    <xf numFmtId="0" fontId="12" fillId="12" borderId="0" xfId="0" applyFont="1" applyFill="1"/>
    <xf numFmtId="164" fontId="12" fillId="12" borderId="0" xfId="0" applyNumberFormat="1" applyFont="1" applyFill="1"/>
    <xf numFmtId="164" fontId="3" fillId="2" borderId="1" xfId="0" applyNumberFormat="1" applyFont="1" applyFill="1" applyBorder="1"/>
    <xf numFmtId="9" fontId="11" fillId="2" borderId="0" xfId="0" applyNumberFormat="1" applyFont="1" applyFill="1" applyAlignment="1">
      <alignment horizontal="left"/>
    </xf>
    <xf numFmtId="164" fontId="11" fillId="2" borderId="0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Border="1"/>
    <xf numFmtId="1" fontId="11" fillId="2" borderId="0" xfId="0" applyNumberFormat="1" applyFont="1" applyFill="1" applyBorder="1"/>
    <xf numFmtId="173" fontId="11" fillId="2" borderId="0" xfId="5" applyNumberFormat="1" applyFont="1" applyFill="1" applyBorder="1"/>
    <xf numFmtId="0" fontId="18" fillId="0" borderId="0" xfId="0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/>
    <xf numFmtId="0" fontId="11" fillId="0" borderId="0" xfId="0" applyFont="1" applyFill="1"/>
    <xf numFmtId="0" fontId="14" fillId="0" borderId="0" xfId="0" applyFont="1" applyFill="1" applyBorder="1" applyAlignment="1">
      <alignment horizontal="center"/>
    </xf>
    <xf numFmtId="164" fontId="3" fillId="2" borderId="24" xfId="0" applyNumberFormat="1" applyFont="1" applyFill="1" applyBorder="1"/>
    <xf numFmtId="174" fontId="3" fillId="2" borderId="24" xfId="0" applyNumberFormat="1" applyFont="1" applyFill="1" applyBorder="1"/>
    <xf numFmtId="9" fontId="12" fillId="5" borderId="1" xfId="0" applyNumberFormat="1" applyFont="1" applyFill="1" applyBorder="1"/>
    <xf numFmtId="0" fontId="3" fillId="2" borderId="21" xfId="0" applyFont="1" applyFill="1" applyBorder="1"/>
    <xf numFmtId="0" fontId="3" fillId="2" borderId="16" xfId="0" applyFont="1" applyFill="1" applyBorder="1"/>
    <xf numFmtId="168" fontId="18" fillId="20" borderId="15" xfId="0" applyNumberFormat="1" applyFont="1" applyFill="1" applyBorder="1" applyAlignment="1">
      <alignment horizontal="center"/>
    </xf>
    <xf numFmtId="0" fontId="18" fillId="20" borderId="20" xfId="0" applyFont="1" applyFill="1" applyBorder="1"/>
    <xf numFmtId="168" fontId="18" fillId="20" borderId="28" xfId="0" applyNumberFormat="1" applyFont="1" applyFill="1" applyBorder="1"/>
    <xf numFmtId="168" fontId="11" fillId="17" borderId="18" xfId="4" applyNumberFormat="1" applyFont="1" applyFill="1" applyBorder="1" applyAlignment="1">
      <alignment horizontal="right"/>
    </xf>
    <xf numFmtId="168" fontId="11" fillId="15" borderId="18" xfId="4" applyNumberFormat="1" applyFont="1" applyFill="1" applyBorder="1" applyAlignment="1">
      <alignment horizontal="right"/>
    </xf>
    <xf numFmtId="0" fontId="11" fillId="15" borderId="19" xfId="0" applyFont="1" applyFill="1" applyBorder="1" applyAlignment="1">
      <alignment horizontal="right"/>
    </xf>
    <xf numFmtId="2" fontId="11" fillId="15" borderId="20" xfId="0" applyNumberFormat="1" applyFont="1" applyFill="1" applyBorder="1" applyAlignment="1">
      <alignment horizontal="right"/>
    </xf>
    <xf numFmtId="168" fontId="11" fillId="16" borderId="18" xfId="4" applyNumberFormat="1" applyFont="1" applyFill="1" applyBorder="1" applyAlignment="1">
      <alignment horizontal="right"/>
    </xf>
    <xf numFmtId="0" fontId="11" fillId="16" borderId="19" xfId="0" applyFont="1" applyFill="1" applyBorder="1" applyAlignment="1">
      <alignment horizontal="right"/>
    </xf>
    <xf numFmtId="168" fontId="11" fillId="14" borderId="18" xfId="4" applyNumberFormat="1" applyFont="1" applyFill="1" applyBorder="1" applyAlignment="1">
      <alignment horizontal="right"/>
    </xf>
    <xf numFmtId="0" fontId="11" fillId="14" borderId="19" xfId="0" applyFont="1" applyFill="1" applyBorder="1" applyAlignment="1">
      <alignment horizontal="right"/>
    </xf>
    <xf numFmtId="168" fontId="18" fillId="20" borderId="15" xfId="0" applyNumberFormat="1" applyFont="1" applyFill="1" applyBorder="1" applyAlignment="1">
      <alignment horizontal="right"/>
    </xf>
    <xf numFmtId="164" fontId="11" fillId="17" borderId="20" xfId="0" applyNumberFormat="1" applyFont="1" applyFill="1" applyBorder="1" applyAlignment="1">
      <alignment horizontal="right"/>
    </xf>
    <xf numFmtId="164" fontId="11" fillId="16" borderId="20" xfId="0" applyNumberFormat="1" applyFont="1" applyFill="1" applyBorder="1" applyAlignment="1">
      <alignment horizontal="right"/>
    </xf>
    <xf numFmtId="164" fontId="11" fillId="14" borderId="20" xfId="0" applyNumberFormat="1" applyFont="1" applyFill="1" applyBorder="1" applyAlignment="1">
      <alignment horizontal="right"/>
    </xf>
    <xf numFmtId="0" fontId="12" fillId="5" borderId="19" xfId="0" applyFont="1" applyFill="1" applyBorder="1" applyAlignment="1">
      <alignment horizontal="right"/>
    </xf>
    <xf numFmtId="0" fontId="14" fillId="0" borderId="0" xfId="0" applyFont="1" applyFill="1" applyBorder="1" applyAlignment="1"/>
    <xf numFmtId="164" fontId="6" fillId="6" borderId="14" xfId="0" applyNumberFormat="1" applyFont="1" applyFill="1" applyBorder="1" applyAlignment="1"/>
    <xf numFmtId="164" fontId="18" fillId="20" borderId="28" xfId="0" applyNumberFormat="1" applyFont="1" applyFill="1" applyBorder="1"/>
    <xf numFmtId="0" fontId="3" fillId="2" borderId="42" xfId="0" applyFont="1" applyFill="1" applyBorder="1"/>
    <xf numFmtId="168" fontId="3" fillId="2" borderId="42" xfId="0" applyNumberFormat="1" applyFont="1" applyFill="1" applyBorder="1"/>
    <xf numFmtId="0" fontId="3" fillId="0" borderId="0" xfId="0" applyFont="1" applyFill="1" applyBorder="1"/>
    <xf numFmtId="164" fontId="3" fillId="0" borderId="0" xfId="0" applyNumberFormat="1" applyFont="1" applyFill="1" applyBorder="1"/>
    <xf numFmtId="0" fontId="12" fillId="19" borderId="0" xfId="0" applyFont="1" applyFill="1" applyBorder="1"/>
    <xf numFmtId="164" fontId="12" fillId="19" borderId="0" xfId="0" applyNumberFormat="1" applyFont="1" applyFill="1" applyBorder="1"/>
    <xf numFmtId="0" fontId="21" fillId="16" borderId="0" xfId="0" applyFont="1" applyFill="1"/>
    <xf numFmtId="164" fontId="21" fillId="16" borderId="0" xfId="0" applyNumberFormat="1" applyFont="1" applyFill="1"/>
    <xf numFmtId="0" fontId="18" fillId="20" borderId="1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8" fillId="18" borderId="2" xfId="0" applyFont="1" applyFill="1" applyBorder="1" applyAlignment="1">
      <alignment horizontal="center"/>
    </xf>
    <xf numFmtId="0" fontId="18" fillId="18" borderId="3" xfId="0" applyFont="1" applyFill="1" applyBorder="1" applyAlignment="1">
      <alignment horizontal="center"/>
    </xf>
    <xf numFmtId="0" fontId="14" fillId="6" borderId="30" xfId="0" applyFont="1" applyFill="1" applyBorder="1" applyAlignment="1">
      <alignment horizontal="center"/>
    </xf>
    <xf numFmtId="0" fontId="14" fillId="6" borderId="32" xfId="0" applyFont="1" applyFill="1" applyBorder="1" applyAlignment="1">
      <alignment horizontal="center"/>
    </xf>
    <xf numFmtId="0" fontId="20" fillId="20" borderId="30" xfId="0" applyFont="1" applyFill="1" applyBorder="1" applyAlignment="1">
      <alignment horizontal="center"/>
    </xf>
    <xf numFmtId="0" fontId="20" fillId="20" borderId="32" xfId="0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23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20" fillId="20" borderId="2" xfId="0" applyFont="1" applyFill="1" applyBorder="1" applyAlignment="1">
      <alignment horizontal="center"/>
    </xf>
    <xf numFmtId="0" fontId="20" fillId="20" borderId="3" xfId="0" applyFont="1" applyFill="1" applyBorder="1" applyAlignment="1">
      <alignment horizontal="center"/>
    </xf>
    <xf numFmtId="0" fontId="13" fillId="3" borderId="30" xfId="0" applyFont="1" applyFill="1" applyBorder="1" applyAlignment="1">
      <alignment horizontal="center"/>
    </xf>
    <xf numFmtId="0" fontId="13" fillId="3" borderId="32" xfId="0" applyFont="1" applyFill="1" applyBorder="1" applyAlignment="1">
      <alignment horizontal="center"/>
    </xf>
    <xf numFmtId="0" fontId="6" fillId="6" borderId="30" xfId="0" applyFont="1" applyFill="1" applyBorder="1" applyAlignment="1">
      <alignment horizontal="center"/>
    </xf>
    <xf numFmtId="0" fontId="14" fillId="7" borderId="2" xfId="0" applyFont="1" applyFill="1" applyBorder="1" applyAlignment="1">
      <alignment horizontal="center"/>
    </xf>
    <xf numFmtId="0" fontId="14" fillId="7" borderId="3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6" fillId="6" borderId="34" xfId="0" applyFont="1" applyFill="1" applyBorder="1" applyAlignment="1">
      <alignment horizontal="center"/>
    </xf>
    <xf numFmtId="0" fontId="6" fillId="6" borderId="32" xfId="0" applyFont="1" applyFill="1" applyBorder="1" applyAlignment="1">
      <alignment horizontal="center"/>
    </xf>
    <xf numFmtId="0" fontId="14" fillId="7" borderId="30" xfId="0" applyFont="1" applyFill="1" applyBorder="1" applyAlignment="1">
      <alignment horizontal="center"/>
    </xf>
    <xf numFmtId="0" fontId="14" fillId="7" borderId="34" xfId="0" applyFont="1" applyFill="1" applyBorder="1" applyAlignment="1">
      <alignment horizontal="center"/>
    </xf>
    <xf numFmtId="0" fontId="14" fillId="7" borderId="32" xfId="0" applyFont="1" applyFill="1" applyBorder="1" applyAlignment="1">
      <alignment horizontal="center"/>
    </xf>
    <xf numFmtId="0" fontId="14" fillId="7" borderId="4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7" borderId="5" xfId="0" applyFont="1" applyFill="1" applyBorder="1" applyAlignment="1">
      <alignment horizontal="center"/>
    </xf>
    <xf numFmtId="0" fontId="14" fillId="7" borderId="6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0" fontId="14" fillId="7" borderId="7" xfId="0" applyFont="1" applyFill="1" applyBorder="1" applyAlignment="1">
      <alignment horizontal="center"/>
    </xf>
    <xf numFmtId="0" fontId="11" fillId="2" borderId="31" xfId="0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164" fontId="11" fillId="2" borderId="31" xfId="0" applyNumberFormat="1" applyFont="1" applyFill="1" applyBorder="1" applyAlignment="1">
      <alignment horizontal="center" vertical="center"/>
    </xf>
    <xf numFmtId="164" fontId="11" fillId="2" borderId="39" xfId="0" applyNumberFormat="1" applyFont="1" applyFill="1" applyBorder="1" applyAlignment="1">
      <alignment horizontal="center" vertical="center"/>
    </xf>
    <xf numFmtId="164" fontId="11" fillId="2" borderId="15" xfId="0" applyNumberFormat="1" applyFont="1" applyFill="1" applyBorder="1" applyAlignment="1">
      <alignment horizontal="center" vertical="center"/>
    </xf>
    <xf numFmtId="0" fontId="9" fillId="11" borderId="24" xfId="0" applyFont="1" applyFill="1" applyBorder="1" applyAlignment="1">
      <alignment horizontal="center"/>
    </xf>
    <xf numFmtId="0" fontId="9" fillId="11" borderId="25" xfId="0" applyFont="1" applyFill="1" applyBorder="1" applyAlignment="1">
      <alignment horizontal="center"/>
    </xf>
    <xf numFmtId="0" fontId="9" fillId="11" borderId="26" xfId="0" applyFont="1" applyFill="1" applyBorder="1" applyAlignment="1">
      <alignment horizontal="center"/>
    </xf>
    <xf numFmtId="0" fontId="9" fillId="10" borderId="2" xfId="0" applyFont="1" applyFill="1" applyBorder="1" applyAlignment="1">
      <alignment horizontal="center" vertical="center"/>
    </xf>
    <xf numFmtId="0" fontId="9" fillId="10" borderId="23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/>
    </xf>
    <xf numFmtId="0" fontId="4" fillId="11" borderId="23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</cellXfs>
  <cellStyles count="8">
    <cellStyle name="Currency 2" xfId="2" xr:uid="{00000000-0005-0000-0000-000000000000}"/>
    <cellStyle name="Millares" xfId="4" builtinId="3"/>
    <cellStyle name="Millares 2" xfId="6" xr:uid="{00000000-0005-0000-0000-000002000000}"/>
    <cellStyle name="Moneda" xfId="1" builtinId="4"/>
    <cellStyle name="Moneda 2" xfId="3" xr:uid="{00000000-0005-0000-0000-000004000000}"/>
    <cellStyle name="Monétaire 2" xfId="7" xr:uid="{01D75B06-E26A-4E4E-8D9E-F89F20776E9A}"/>
    <cellStyle name="Normal" xfId="0" builtinId="0"/>
    <cellStyle name="Porcentaje" xfId="5" builtinId="5"/>
  </cellStyles>
  <dxfs count="1"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1224090</xdr:colOff>
      <xdr:row>48</xdr:row>
      <xdr:rowOff>78977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0F3D4C4-CBCA-4C75-8926-9B281A715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1419" y="6420972"/>
          <a:ext cx="2782260" cy="2084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6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4"/>
  <sheetViews>
    <sheetView showGridLines="0" tabSelected="1" topLeftCell="H14" zoomScale="70" zoomScaleNormal="70" workbookViewId="0">
      <selection activeCell="S35" sqref="S35"/>
    </sheetView>
  </sheetViews>
  <sheetFormatPr baseColWidth="10" defaultColWidth="8.7109375" defaultRowHeight="12.75" x14ac:dyDescent="0.2"/>
  <cols>
    <col min="1" max="1" width="7.85546875" style="82" customWidth="1"/>
    <col min="2" max="2" width="37.85546875" style="82" bestFit="1" customWidth="1"/>
    <col min="3" max="3" width="14.42578125" style="82" bestFit="1" customWidth="1"/>
    <col min="4" max="4" width="10.140625" style="82" customWidth="1"/>
    <col min="5" max="5" width="16" style="82" bestFit="1" customWidth="1"/>
    <col min="6" max="6" width="23.5703125" style="82" bestFit="1" customWidth="1"/>
    <col min="7" max="7" width="17.5703125" style="82" bestFit="1" customWidth="1"/>
    <col min="8" max="8" width="12.42578125" style="82" bestFit="1" customWidth="1"/>
    <col min="9" max="9" width="4.5703125" style="82" bestFit="1" customWidth="1"/>
    <col min="10" max="11" width="12" style="82" customWidth="1"/>
    <col min="12" max="12" width="43.5703125" style="82" customWidth="1"/>
    <col min="13" max="13" width="22.42578125" style="82" bestFit="1" customWidth="1"/>
    <col min="14" max="14" width="11" style="82" bestFit="1" customWidth="1"/>
    <col min="15" max="15" width="11" style="82" customWidth="1"/>
    <col min="16" max="16" width="34.85546875" style="82" customWidth="1"/>
    <col min="17" max="17" width="25.28515625" style="82" customWidth="1"/>
    <col min="18" max="18" width="4.140625" style="82" bestFit="1" customWidth="1"/>
    <col min="19" max="19" width="10.42578125" style="82" customWidth="1"/>
    <col min="20" max="20" width="19.42578125" style="82" customWidth="1"/>
    <col min="21" max="21" width="17.7109375" style="82" bestFit="1" customWidth="1"/>
    <col min="22" max="22" width="13.5703125" style="82" bestFit="1" customWidth="1"/>
    <col min="23" max="23" width="12.85546875" style="82" customWidth="1"/>
    <col min="24" max="24" width="13.140625" style="82" customWidth="1"/>
    <col min="25" max="26" width="8.7109375" style="82"/>
    <col min="27" max="27" width="9.7109375" style="82" customWidth="1"/>
    <col min="28" max="16384" width="8.7109375" style="82"/>
  </cols>
  <sheetData>
    <row r="1" spans="1:29" ht="13.5" thickBot="1" x14ac:dyDescent="0.25">
      <c r="U1" s="83" t="s">
        <v>21</v>
      </c>
      <c r="V1" s="83" t="s">
        <v>22</v>
      </c>
      <c r="W1" s="83" t="s">
        <v>23</v>
      </c>
      <c r="X1" s="83" t="s">
        <v>24</v>
      </c>
      <c r="Y1" s="83" t="s">
        <v>0</v>
      </c>
    </row>
    <row r="2" spans="1:29" ht="15.75" thickBot="1" x14ac:dyDescent="0.3">
      <c r="B2" s="84"/>
      <c r="C2" s="84"/>
      <c r="D2" s="85"/>
      <c r="E2" s="86"/>
      <c r="F2" s="87"/>
      <c r="L2" s="298" t="s">
        <v>7</v>
      </c>
      <c r="M2" s="299"/>
      <c r="P2" s="300" t="s">
        <v>8</v>
      </c>
      <c r="Q2" s="301"/>
      <c r="T2" s="82" t="s">
        <v>20</v>
      </c>
      <c r="U2" s="88">
        <v>800</v>
      </c>
      <c r="V2" s="88">
        <v>38</v>
      </c>
      <c r="W2" s="88">
        <v>3</v>
      </c>
      <c r="X2" s="88">
        <f>V2</f>
        <v>38</v>
      </c>
      <c r="Y2" s="88">
        <f>U2/36*V2*W2</f>
        <v>2533.3333333333335</v>
      </c>
    </row>
    <row r="3" spans="1:29" x14ac:dyDescent="0.2">
      <c r="G3" s="89"/>
      <c r="L3" s="90" t="s">
        <v>6</v>
      </c>
      <c r="M3" s="91">
        <f>V32</f>
        <v>386</v>
      </c>
      <c r="P3" s="92" t="s">
        <v>63</v>
      </c>
      <c r="Q3" s="93">
        <f>(2000/36)</f>
        <v>55.555555555555557</v>
      </c>
    </row>
    <row r="4" spans="1:29" ht="13.5" thickBot="1" x14ac:dyDescent="0.25">
      <c r="G4" s="94"/>
      <c r="H4" s="89"/>
      <c r="I4" s="89"/>
      <c r="J4" s="89"/>
      <c r="K4" s="89"/>
      <c r="L4" s="95" t="s">
        <v>9</v>
      </c>
      <c r="M4" s="96"/>
      <c r="P4" s="97" t="s">
        <v>161</v>
      </c>
      <c r="Q4" s="98">
        <f>(800/36)</f>
        <v>22.222222222222221</v>
      </c>
      <c r="U4" s="83" t="s">
        <v>26</v>
      </c>
      <c r="V4" s="83" t="s">
        <v>27</v>
      </c>
      <c r="W4" s="83" t="s">
        <v>22</v>
      </c>
      <c r="X4" s="83" t="s">
        <v>0</v>
      </c>
    </row>
    <row r="5" spans="1:29" ht="13.5" thickBot="1" x14ac:dyDescent="0.25">
      <c r="B5" s="302" t="s">
        <v>71</v>
      </c>
      <c r="C5" s="303"/>
      <c r="D5" s="303"/>
      <c r="E5" s="303"/>
      <c r="F5" s="304"/>
      <c r="G5" s="99"/>
      <c r="L5" s="100" t="s">
        <v>10</v>
      </c>
      <c r="M5" s="101">
        <f>V38</f>
        <v>159.48233333333332</v>
      </c>
      <c r="P5" s="97" t="s">
        <v>18</v>
      </c>
      <c r="Q5" s="98">
        <v>50</v>
      </c>
      <c r="T5" s="82" t="s">
        <v>25</v>
      </c>
      <c r="U5" s="88">
        <v>600</v>
      </c>
      <c r="V5" s="88">
        <f>W2</f>
        <v>3</v>
      </c>
      <c r="W5" s="88">
        <f>X2</f>
        <v>38</v>
      </c>
      <c r="X5" s="102">
        <f>U5/36*V5*W5</f>
        <v>1900</v>
      </c>
    </row>
    <row r="6" spans="1:29" ht="15.75" customHeight="1" thickBot="1" x14ac:dyDescent="0.25">
      <c r="B6" s="103" t="s">
        <v>3</v>
      </c>
      <c r="C6" s="307" t="s">
        <v>66</v>
      </c>
      <c r="D6" s="308"/>
      <c r="E6" s="103" t="s">
        <v>67</v>
      </c>
      <c r="F6" s="104" t="s">
        <v>4</v>
      </c>
      <c r="L6" s="105" t="s">
        <v>150</v>
      </c>
      <c r="M6" s="106">
        <f>V5</f>
        <v>3</v>
      </c>
      <c r="P6" s="97"/>
      <c r="Q6" s="98"/>
      <c r="W6" s="107"/>
    </row>
    <row r="7" spans="1:29" ht="13.5" thickBot="1" x14ac:dyDescent="0.25">
      <c r="A7" s="99"/>
      <c r="B7" s="108" t="s">
        <v>65</v>
      </c>
      <c r="C7" s="109">
        <v>210000</v>
      </c>
      <c r="D7" s="110" t="s">
        <v>68</v>
      </c>
      <c r="E7" s="111">
        <f>M42</f>
        <v>6.7909166964579118E-2</v>
      </c>
      <c r="F7" s="112">
        <f>E7*C7</f>
        <v>14260.925062561615</v>
      </c>
      <c r="L7" s="263" t="s">
        <v>180</v>
      </c>
      <c r="M7" s="264">
        <f>SUM(M3:M5)*M6</f>
        <v>1636.4470000000001</v>
      </c>
      <c r="P7" s="97"/>
      <c r="Q7" s="98"/>
    </row>
    <row r="8" spans="1:29" ht="13.5" thickBot="1" x14ac:dyDescent="0.25">
      <c r="B8" s="114" t="s">
        <v>64</v>
      </c>
      <c r="C8" s="114"/>
      <c r="D8" s="115"/>
      <c r="E8" s="116"/>
      <c r="F8" s="117"/>
      <c r="P8" s="97"/>
      <c r="Q8" s="98"/>
    </row>
    <row r="9" spans="1:29" ht="15.75" thickBot="1" x14ac:dyDescent="0.3">
      <c r="B9" s="118"/>
      <c r="C9" s="118"/>
      <c r="D9" s="118"/>
      <c r="E9" s="119" t="s">
        <v>2</v>
      </c>
      <c r="F9" s="120">
        <f>SUM(F7:F8)</f>
        <v>14260.925062561615</v>
      </c>
      <c r="L9" s="305" t="s">
        <v>181</v>
      </c>
      <c r="M9" s="306"/>
      <c r="P9" s="97"/>
      <c r="Q9" s="98"/>
    </row>
    <row r="10" spans="1:29" ht="15.75" thickBot="1" x14ac:dyDescent="0.3">
      <c r="B10" s="118"/>
      <c r="C10" s="118"/>
      <c r="D10" s="118"/>
      <c r="E10" s="119" t="s">
        <v>1</v>
      </c>
      <c r="F10" s="121">
        <f>F9*G10</f>
        <v>1711.3110075073937</v>
      </c>
      <c r="G10" s="247">
        <v>0.12</v>
      </c>
      <c r="L10" s="122" t="s">
        <v>154</v>
      </c>
      <c r="M10" s="265">
        <f>M7</f>
        <v>1636.4470000000001</v>
      </c>
      <c r="N10" s="123"/>
      <c r="O10" s="123"/>
      <c r="P10" s="97"/>
      <c r="Q10" s="98"/>
      <c r="R10" s="99"/>
      <c r="S10" s="99"/>
      <c r="T10" s="296" t="s">
        <v>19</v>
      </c>
      <c r="U10" s="297"/>
      <c r="W10" s="83" t="s">
        <v>28</v>
      </c>
      <c r="X10" s="83" t="s">
        <v>29</v>
      </c>
      <c r="Y10" s="83" t="s">
        <v>30</v>
      </c>
      <c r="Z10" s="83" t="s">
        <v>0</v>
      </c>
      <c r="AA10" s="124" t="s">
        <v>37</v>
      </c>
      <c r="AB10" s="124" t="s">
        <v>0</v>
      </c>
    </row>
    <row r="11" spans="1:29" ht="13.5" thickBot="1" x14ac:dyDescent="0.25">
      <c r="B11" s="125"/>
      <c r="C11" s="118"/>
      <c r="D11" s="118"/>
      <c r="E11" s="126" t="s">
        <v>0</v>
      </c>
      <c r="F11" s="127">
        <f>SUM(F9:F10)</f>
        <v>15972.236070069008</v>
      </c>
      <c r="L11" s="128" t="s">
        <v>155</v>
      </c>
      <c r="M11" s="277">
        <f>W5</f>
        <v>38</v>
      </c>
      <c r="N11" s="123"/>
      <c r="O11" s="123"/>
      <c r="P11" s="97"/>
      <c r="Q11" s="98"/>
      <c r="T11" s="92"/>
      <c r="U11" s="129">
        <v>0</v>
      </c>
      <c r="W11" s="88"/>
      <c r="X11" s="88"/>
      <c r="Y11" s="88"/>
      <c r="Z11" s="88"/>
      <c r="AA11" s="88"/>
      <c r="AB11" s="130"/>
    </row>
    <row r="12" spans="1:29" ht="13.5" thickBot="1" x14ac:dyDescent="0.25">
      <c r="C12" s="89"/>
      <c r="D12" s="89"/>
      <c r="L12" s="131" t="s">
        <v>156</v>
      </c>
      <c r="M12" s="274">
        <f>+(M10/22)*M11</f>
        <v>2826.5902727272733</v>
      </c>
      <c r="N12" s="123"/>
      <c r="O12" s="123"/>
      <c r="P12" s="97"/>
      <c r="Q12" s="98"/>
      <c r="T12" s="132"/>
      <c r="U12" s="133">
        <v>0</v>
      </c>
    </row>
    <row r="13" spans="1:29" ht="13.5" thickBot="1" x14ac:dyDescent="0.25">
      <c r="B13" s="302" t="s">
        <v>61</v>
      </c>
      <c r="C13" s="303"/>
      <c r="D13" s="303"/>
      <c r="E13" s="303"/>
      <c r="F13" s="304"/>
      <c r="L13" s="134" t="s">
        <v>157</v>
      </c>
      <c r="M13" s="266">
        <v>0</v>
      </c>
      <c r="N13" s="123"/>
      <c r="O13" s="123"/>
      <c r="P13" s="113"/>
      <c r="Q13" s="98"/>
      <c r="T13" s="132"/>
      <c r="U13" s="133">
        <v>0</v>
      </c>
      <c r="W13" s="83" t="s">
        <v>31</v>
      </c>
      <c r="X13" s="83" t="s">
        <v>29</v>
      </c>
      <c r="Y13" s="83" t="s">
        <v>32</v>
      </c>
      <c r="Z13" s="83" t="s">
        <v>30</v>
      </c>
      <c r="AA13" s="83" t="s">
        <v>0</v>
      </c>
      <c r="AB13" s="124" t="s">
        <v>38</v>
      </c>
      <c r="AC13" s="124" t="s">
        <v>0</v>
      </c>
    </row>
    <row r="14" spans="1:29" ht="15.75" customHeight="1" thickBot="1" x14ac:dyDescent="0.25">
      <c r="B14" s="103" t="s">
        <v>62</v>
      </c>
      <c r="C14" s="307" t="s">
        <v>70</v>
      </c>
      <c r="D14" s="308"/>
      <c r="E14" s="103" t="s">
        <v>67</v>
      </c>
      <c r="F14" s="104" t="s">
        <v>4</v>
      </c>
      <c r="L14" s="135" t="s">
        <v>155</v>
      </c>
      <c r="M14" s="267">
        <v>0</v>
      </c>
      <c r="N14" s="136"/>
      <c r="O14" s="136"/>
      <c r="P14" s="137" t="s">
        <v>0</v>
      </c>
      <c r="Q14" s="138">
        <f>SUM(Q3:Q4:Q5)+U25</f>
        <v>127.77777777777777</v>
      </c>
      <c r="T14" s="132"/>
      <c r="U14" s="133">
        <v>0</v>
      </c>
      <c r="W14" s="88"/>
      <c r="X14" s="88"/>
      <c r="Y14" s="88"/>
      <c r="Z14" s="88"/>
      <c r="AA14" s="88"/>
      <c r="AB14" s="130"/>
      <c r="AC14" s="130"/>
    </row>
    <row r="15" spans="1:29" ht="13.5" thickBot="1" x14ac:dyDescent="0.25">
      <c r="B15" s="139" t="s">
        <v>61</v>
      </c>
      <c r="C15" s="140">
        <f>H51</f>
        <v>3931.9628906250009</v>
      </c>
      <c r="D15" s="141" t="s">
        <v>69</v>
      </c>
      <c r="E15" s="142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0.35</v>
      </c>
      <c r="F15" s="120">
        <f>C15*E15</f>
        <v>1376.1870117187502</v>
      </c>
      <c r="L15" s="143" t="s">
        <v>156</v>
      </c>
      <c r="M15" s="268">
        <f>+(M13/22)*M14</f>
        <v>0</v>
      </c>
      <c r="N15" s="89"/>
      <c r="O15" s="89"/>
      <c r="T15" s="132"/>
      <c r="U15" s="133">
        <v>0</v>
      </c>
    </row>
    <row r="16" spans="1:29" ht="15.75" thickBot="1" x14ac:dyDescent="0.3">
      <c r="B16" s="114"/>
      <c r="C16" s="114"/>
      <c r="D16" s="115"/>
      <c r="E16" s="116"/>
      <c r="F16" s="144"/>
      <c r="L16" s="145" t="s">
        <v>158</v>
      </c>
      <c r="M16" s="269">
        <v>0</v>
      </c>
      <c r="P16" s="298" t="s">
        <v>185</v>
      </c>
      <c r="Q16" s="299"/>
      <c r="T16" s="132"/>
      <c r="U16" s="133">
        <v>0</v>
      </c>
      <c r="W16" s="83" t="s">
        <v>33</v>
      </c>
      <c r="X16" s="83" t="s">
        <v>29</v>
      </c>
      <c r="Y16" s="146" t="s">
        <v>34</v>
      </c>
      <c r="Z16" s="83" t="s">
        <v>36</v>
      </c>
      <c r="AA16" s="124" t="s">
        <v>35</v>
      </c>
      <c r="AB16" s="124" t="s">
        <v>38</v>
      </c>
      <c r="AC16" s="124" t="s">
        <v>0</v>
      </c>
    </row>
    <row r="17" spans="2:29" x14ac:dyDescent="0.2">
      <c r="B17" s="118"/>
      <c r="C17" s="118"/>
      <c r="D17" s="118"/>
      <c r="E17" s="119" t="s">
        <v>2</v>
      </c>
      <c r="F17" s="120">
        <f>SUM(F15:F16)</f>
        <v>1376.1870117187502</v>
      </c>
      <c r="L17" s="147" t="s">
        <v>155</v>
      </c>
      <c r="M17" s="270">
        <v>0</v>
      </c>
      <c r="N17" s="99"/>
      <c r="O17" s="99"/>
      <c r="P17" s="227" t="s">
        <v>186</v>
      </c>
      <c r="Q17" s="149">
        <v>0.15</v>
      </c>
      <c r="T17" s="132"/>
      <c r="U17" s="133">
        <v>0</v>
      </c>
      <c r="W17" s="88"/>
      <c r="X17" s="150"/>
      <c r="Y17" s="150"/>
      <c r="Z17" s="150"/>
      <c r="AA17" s="150"/>
      <c r="AB17" s="151"/>
      <c r="AC17" s="130">
        <f>AA17*AB17</f>
        <v>0</v>
      </c>
    </row>
    <row r="18" spans="2:29" ht="13.5" thickBot="1" x14ac:dyDescent="0.25">
      <c r="B18" s="118"/>
      <c r="C18" s="118"/>
      <c r="D18" s="118"/>
      <c r="E18" s="119" t="s">
        <v>1</v>
      </c>
      <c r="F18" s="121">
        <f>F17*G18</f>
        <v>165.14244140625001</v>
      </c>
      <c r="G18" s="247">
        <v>0.12</v>
      </c>
      <c r="L18" s="152" t="s">
        <v>156</v>
      </c>
      <c r="M18" s="275">
        <f>+(M16/22)*M17</f>
        <v>0</v>
      </c>
      <c r="P18" s="263" t="s">
        <v>13</v>
      </c>
      <c r="Q18" s="280">
        <f>((M34)+((M34)*Q27))*Q17</f>
        <v>1572.8961466060607</v>
      </c>
      <c r="T18" s="155"/>
      <c r="U18" s="156">
        <v>0</v>
      </c>
    </row>
    <row r="19" spans="2:29" ht="13.5" thickBot="1" x14ac:dyDescent="0.25">
      <c r="B19" s="125"/>
      <c r="C19" s="118"/>
      <c r="D19" s="118"/>
      <c r="E19" s="126" t="s">
        <v>0</v>
      </c>
      <c r="F19" s="127">
        <f>SUM(F17:F18)</f>
        <v>1541.3294531250003</v>
      </c>
      <c r="L19" s="157" t="s">
        <v>159</v>
      </c>
      <c r="M19" s="271">
        <v>0</v>
      </c>
      <c r="W19" s="83" t="s">
        <v>33</v>
      </c>
      <c r="X19" s="83" t="s">
        <v>29</v>
      </c>
      <c r="Y19" s="146" t="s">
        <v>34</v>
      </c>
      <c r="Z19" s="83" t="s">
        <v>36</v>
      </c>
      <c r="AA19" s="124" t="s">
        <v>35</v>
      </c>
      <c r="AB19" s="124" t="s">
        <v>38</v>
      </c>
      <c r="AC19" s="124" t="s">
        <v>0</v>
      </c>
    </row>
    <row r="20" spans="2:29" ht="13.5" thickBot="1" x14ac:dyDescent="0.25">
      <c r="B20" s="158"/>
      <c r="C20" s="158"/>
      <c r="D20" s="158"/>
      <c r="E20" s="159"/>
      <c r="F20" s="160"/>
      <c r="L20" s="161" t="s">
        <v>155</v>
      </c>
      <c r="M20" s="272">
        <v>0</v>
      </c>
      <c r="W20" s="88"/>
      <c r="X20" s="150"/>
      <c r="Y20" s="150"/>
      <c r="Z20" s="150"/>
      <c r="AA20" s="150"/>
      <c r="AB20" s="151"/>
      <c r="AC20" s="130">
        <f>AA20*AB20</f>
        <v>0</v>
      </c>
    </row>
    <row r="21" spans="2:29" ht="15.75" thickBot="1" x14ac:dyDescent="0.3">
      <c r="B21" s="158"/>
      <c r="C21" s="158"/>
      <c r="D21" s="158"/>
      <c r="E21" s="159"/>
      <c r="F21" s="160"/>
      <c r="L21" s="162" t="s">
        <v>156</v>
      </c>
      <c r="M21" s="276">
        <f>+(M19/22)*M20</f>
        <v>0</v>
      </c>
      <c r="P21" s="296" t="s">
        <v>11</v>
      </c>
      <c r="Q21" s="297"/>
    </row>
    <row r="22" spans="2:29" ht="13.5" thickBot="1" x14ac:dyDescent="0.25">
      <c r="B22" s="312"/>
      <c r="C22" s="312"/>
      <c r="D22" s="312"/>
      <c r="E22" s="312"/>
      <c r="F22" s="312"/>
      <c r="L22" s="137" t="s">
        <v>0</v>
      </c>
      <c r="M22" s="273">
        <f>+M18+M21+M15+M12</f>
        <v>2826.5902727272733</v>
      </c>
      <c r="P22" s="148" t="s">
        <v>12</v>
      </c>
      <c r="Q22" s="149">
        <v>0.13</v>
      </c>
    </row>
    <row r="23" spans="2:29" ht="15.75" thickBot="1" x14ac:dyDescent="0.3">
      <c r="B23" s="163" t="s">
        <v>72</v>
      </c>
      <c r="C23" s="164"/>
      <c r="D23" s="164"/>
      <c r="E23" s="164"/>
      <c r="F23" s="164"/>
      <c r="P23" s="153" t="s">
        <v>13</v>
      </c>
      <c r="Q23" s="154">
        <f>(M37+M38)*Q22</f>
        <v>1649.443759074222</v>
      </c>
    </row>
    <row r="24" spans="2:29" ht="13.5" thickBot="1" x14ac:dyDescent="0.25"/>
    <row r="25" spans="2:29" ht="15.75" thickBot="1" x14ac:dyDescent="0.3">
      <c r="B25" s="165" t="s">
        <v>62</v>
      </c>
      <c r="C25" s="166" t="s">
        <v>89</v>
      </c>
      <c r="D25" s="166" t="s">
        <v>74</v>
      </c>
      <c r="E25" s="167" t="s">
        <v>93</v>
      </c>
      <c r="F25" s="168" t="s">
        <v>75</v>
      </c>
      <c r="G25" s="167" t="s">
        <v>84</v>
      </c>
      <c r="H25" s="166" t="s">
        <v>73</v>
      </c>
      <c r="L25" s="298" t="s">
        <v>178</v>
      </c>
      <c r="M25" s="299"/>
      <c r="P25" s="169" t="s">
        <v>5</v>
      </c>
      <c r="Q25" s="170">
        <f>C7</f>
        <v>210000</v>
      </c>
      <c r="T25" s="137" t="s">
        <v>0</v>
      </c>
      <c r="U25" s="171">
        <f>SUM(U11:U18)</f>
        <v>0</v>
      </c>
    </row>
    <row r="26" spans="2:29" ht="13.5" thickBot="1" x14ac:dyDescent="0.25">
      <c r="B26" s="172" t="s">
        <v>90</v>
      </c>
      <c r="C26" s="172" t="s">
        <v>86</v>
      </c>
      <c r="D26" s="172" t="s">
        <v>76</v>
      </c>
      <c r="E26" s="173">
        <v>14.7</v>
      </c>
      <c r="F26" s="174" t="s">
        <v>79</v>
      </c>
      <c r="G26" s="175" t="s">
        <v>80</v>
      </c>
      <c r="H26" s="172" t="s">
        <v>82</v>
      </c>
      <c r="L26" s="92" t="s">
        <v>129</v>
      </c>
      <c r="M26" s="176">
        <f>N55</f>
        <v>0</v>
      </c>
      <c r="P26" s="177"/>
    </row>
    <row r="27" spans="2:29" ht="13.5" thickBot="1" x14ac:dyDescent="0.25">
      <c r="B27" s="172" t="s">
        <v>90</v>
      </c>
      <c r="C27" s="172" t="s">
        <v>87</v>
      </c>
      <c r="D27" s="172" t="s">
        <v>76</v>
      </c>
      <c r="E27" s="173">
        <v>7.4</v>
      </c>
      <c r="F27" s="174" t="s">
        <v>79</v>
      </c>
      <c r="G27" s="175" t="s">
        <v>80</v>
      </c>
      <c r="H27" s="172" t="s">
        <v>82</v>
      </c>
      <c r="L27" s="132" t="s">
        <v>149</v>
      </c>
      <c r="M27" s="178">
        <f>N74*C7</f>
        <v>4535.6135999999997</v>
      </c>
      <c r="P27" s="169" t="s">
        <v>15</v>
      </c>
      <c r="Q27" s="179">
        <v>0.4</v>
      </c>
      <c r="T27" s="137"/>
    </row>
    <row r="28" spans="2:29" ht="13.5" thickBot="1" x14ac:dyDescent="0.25">
      <c r="B28" s="172" t="s">
        <v>90</v>
      </c>
      <c r="C28" s="172" t="s">
        <v>88</v>
      </c>
      <c r="D28" s="172" t="s">
        <v>77</v>
      </c>
      <c r="E28" s="173">
        <v>8.3000000000000007</v>
      </c>
      <c r="F28" s="174" t="s">
        <v>79</v>
      </c>
      <c r="G28" s="175" t="s">
        <v>80</v>
      </c>
      <c r="H28" s="172" t="s">
        <v>82</v>
      </c>
      <c r="L28" s="155"/>
      <c r="M28" s="180"/>
    </row>
    <row r="29" spans="2:29" ht="13.5" thickBot="1" x14ac:dyDescent="0.25">
      <c r="B29" s="172" t="s">
        <v>90</v>
      </c>
      <c r="C29" s="172" t="s">
        <v>94</v>
      </c>
      <c r="D29" s="172" t="s">
        <v>77</v>
      </c>
      <c r="E29" s="173">
        <v>11.8</v>
      </c>
      <c r="F29" s="174" t="s">
        <v>79</v>
      </c>
      <c r="G29" s="175" t="s">
        <v>80</v>
      </c>
      <c r="H29" s="172" t="s">
        <v>82</v>
      </c>
      <c r="L29" s="137" t="s">
        <v>0</v>
      </c>
      <c r="M29" s="262">
        <f>SUM(M26:M28)</f>
        <v>4535.6135999999997</v>
      </c>
      <c r="P29" s="294" t="s">
        <v>170</v>
      </c>
      <c r="Q29" s="295"/>
    </row>
    <row r="30" spans="2:29" ht="13.5" thickBot="1" x14ac:dyDescent="0.25">
      <c r="B30" s="172" t="s">
        <v>91</v>
      </c>
      <c r="C30" s="172" t="s">
        <v>95</v>
      </c>
      <c r="D30" s="172" t="s">
        <v>76</v>
      </c>
      <c r="E30" s="173">
        <v>44</v>
      </c>
      <c r="F30" s="174" t="s">
        <v>78</v>
      </c>
      <c r="G30" s="175" t="s">
        <v>81</v>
      </c>
      <c r="H30" s="172" t="s">
        <v>83</v>
      </c>
      <c r="P30" s="281" t="s">
        <v>182</v>
      </c>
      <c r="Q30" s="282">
        <f>M22</f>
        <v>2826.5902727272733</v>
      </c>
    </row>
    <row r="31" spans="2:29" ht="15.75" thickBot="1" x14ac:dyDescent="0.3">
      <c r="B31" s="172" t="s">
        <v>91</v>
      </c>
      <c r="C31" s="172" t="s">
        <v>96</v>
      </c>
      <c r="D31" s="172" t="s">
        <v>76</v>
      </c>
      <c r="E31" s="173">
        <v>22</v>
      </c>
      <c r="F31" s="174" t="s">
        <v>78</v>
      </c>
      <c r="G31" s="175" t="s">
        <v>81</v>
      </c>
      <c r="H31" s="172" t="s">
        <v>83</v>
      </c>
      <c r="L31" s="309" t="s">
        <v>177</v>
      </c>
      <c r="M31" s="297"/>
      <c r="P31" s="240" t="s">
        <v>183</v>
      </c>
      <c r="Q31" s="241">
        <f>M29</f>
        <v>4535.6135999999997</v>
      </c>
      <c r="T31" s="309" t="s">
        <v>7</v>
      </c>
      <c r="U31" s="313"/>
      <c r="V31" s="314"/>
    </row>
    <row r="32" spans="2:29" ht="13.5" thickBot="1" x14ac:dyDescent="0.25">
      <c r="B32" s="172" t="s">
        <v>91</v>
      </c>
      <c r="C32" s="172" t="s">
        <v>97</v>
      </c>
      <c r="D32" s="172" t="s">
        <v>77</v>
      </c>
      <c r="E32" s="173">
        <v>24.9</v>
      </c>
      <c r="F32" s="174" t="s">
        <v>78</v>
      </c>
      <c r="G32" s="175" t="s">
        <v>81</v>
      </c>
      <c r="H32" s="172" t="s">
        <v>83</v>
      </c>
      <c r="L32" s="261" t="s">
        <v>179</v>
      </c>
      <c r="M32" s="181">
        <f>SUM(M29+M22)</f>
        <v>7362.2038727272729</v>
      </c>
      <c r="P32" s="240" t="s">
        <v>8</v>
      </c>
      <c r="Q32" s="241">
        <f>M33</f>
        <v>127.77777777777777</v>
      </c>
      <c r="T32" s="292" t="s">
        <v>6</v>
      </c>
      <c r="U32" s="293"/>
      <c r="V32" s="91">
        <v>386</v>
      </c>
    </row>
    <row r="33" spans="2:22" ht="13.5" thickBot="1" x14ac:dyDescent="0.25">
      <c r="B33" s="172" t="s">
        <v>91</v>
      </c>
      <c r="C33" s="172" t="s">
        <v>98</v>
      </c>
      <c r="D33" s="172" t="s">
        <v>77</v>
      </c>
      <c r="E33" s="173">
        <v>28.1</v>
      </c>
      <c r="F33" s="174" t="s">
        <v>78</v>
      </c>
      <c r="G33" s="175" t="s">
        <v>81</v>
      </c>
      <c r="H33" s="172" t="s">
        <v>83</v>
      </c>
      <c r="L33" s="182" t="str">
        <f>P2</f>
        <v>Recursos Varios</v>
      </c>
      <c r="M33" s="183">
        <f>Q14</f>
        <v>127.77777777777777</v>
      </c>
      <c r="P33" s="240" t="s">
        <v>187</v>
      </c>
      <c r="Q33" s="241">
        <f>Q18</f>
        <v>1572.8961466060607</v>
      </c>
      <c r="T33" s="227" t="s">
        <v>162</v>
      </c>
      <c r="U33" s="228">
        <v>12</v>
      </c>
      <c r="V33" s="229">
        <f>$V$32/U33</f>
        <v>32.166666666666664</v>
      </c>
    </row>
    <row r="34" spans="2:22" ht="15.75" thickBot="1" x14ac:dyDescent="0.3">
      <c r="B34" s="184"/>
      <c r="L34" s="137" t="s">
        <v>0</v>
      </c>
      <c r="M34" s="279">
        <f>SUM(M32:M33)</f>
        <v>7489.9816505050503</v>
      </c>
      <c r="N34" s="278"/>
      <c r="T34" s="227" t="s">
        <v>163</v>
      </c>
      <c r="U34" s="228">
        <v>12</v>
      </c>
      <c r="V34" s="229">
        <f>(($V$32*U34)/U34)/U34</f>
        <v>32.166666666666664</v>
      </c>
    </row>
    <row r="35" spans="2:22" ht="13.5" thickBot="1" x14ac:dyDescent="0.25">
      <c r="P35" s="242" t="s">
        <v>171</v>
      </c>
      <c r="Q35" s="243">
        <f>SUM(Q30:Q34)</f>
        <v>9062.8777971111103</v>
      </c>
      <c r="T35" s="227" t="s">
        <v>164</v>
      </c>
      <c r="U35" s="228">
        <v>24</v>
      </c>
      <c r="V35" s="229">
        <f>(($V$32*U34)/U35)/12</f>
        <v>16.083333333333332</v>
      </c>
    </row>
    <row r="36" spans="2:22" ht="15.75" thickBot="1" x14ac:dyDescent="0.3">
      <c r="G36" s="185" t="s">
        <v>92</v>
      </c>
      <c r="H36" s="186">
        <f>C7</f>
        <v>210000</v>
      </c>
      <c r="L36" s="310" t="s">
        <v>160</v>
      </c>
      <c r="M36" s="311"/>
      <c r="T36" s="230" t="s">
        <v>165</v>
      </c>
      <c r="U36" s="231">
        <v>12</v>
      </c>
      <c r="V36" s="232">
        <f>(($V$32*U36)/U36)/U36</f>
        <v>32.166666666666664</v>
      </c>
    </row>
    <row r="37" spans="2:22" ht="13.5" thickBot="1" x14ac:dyDescent="0.25">
      <c r="G37" s="187" t="s">
        <v>89</v>
      </c>
      <c r="H37" s="188" t="s">
        <v>88</v>
      </c>
      <c r="L37" s="260" t="s">
        <v>184</v>
      </c>
      <c r="M37" s="181">
        <f>M34+Q18</f>
        <v>9062.8777971111103</v>
      </c>
      <c r="N37" s="189"/>
      <c r="O37" s="189"/>
      <c r="P37" s="244" t="s">
        <v>172</v>
      </c>
      <c r="Q37" s="245">
        <f>F7</f>
        <v>14260.925062561615</v>
      </c>
      <c r="T37" s="233" t="s">
        <v>166</v>
      </c>
      <c r="U37" s="234">
        <v>0.1215</v>
      </c>
      <c r="V37" s="235">
        <f>(V32*U37)</f>
        <v>46.899000000000001</v>
      </c>
    </row>
    <row r="38" spans="2:22" ht="13.5" thickBot="1" x14ac:dyDescent="0.25">
      <c r="G38" s="187" t="s">
        <v>74</v>
      </c>
      <c r="H38" s="188" t="s">
        <v>77</v>
      </c>
      <c r="L38" s="182" t="s">
        <v>14</v>
      </c>
      <c r="M38" s="190">
        <f>M37*Q27</f>
        <v>3625.1511188444442</v>
      </c>
      <c r="Q38" s="94"/>
      <c r="T38" s="290" t="s">
        <v>167</v>
      </c>
      <c r="U38" s="291"/>
      <c r="V38" s="101">
        <f>SUM(V33:V37)</f>
        <v>159.48233333333332</v>
      </c>
    </row>
    <row r="39" spans="2:22" ht="13.5" thickBot="1" x14ac:dyDescent="0.25">
      <c r="B39" s="191" t="s">
        <v>115</v>
      </c>
      <c r="C39" s="191" t="s">
        <v>119</v>
      </c>
      <c r="G39" s="187" t="s">
        <v>73</v>
      </c>
      <c r="H39" s="188" t="s">
        <v>82</v>
      </c>
      <c r="P39" s="285" t="s">
        <v>173</v>
      </c>
      <c r="Q39" s="286">
        <f>Q37-Q35</f>
        <v>5198.0472654505047</v>
      </c>
      <c r="T39" s="292" t="s">
        <v>168</v>
      </c>
      <c r="U39" s="293"/>
      <c r="V39" s="236">
        <f>V32+V38</f>
        <v>545.48233333333337</v>
      </c>
    </row>
    <row r="40" spans="2:22" ht="15.75" thickBot="1" x14ac:dyDescent="0.3">
      <c r="B40" s="175" t="s">
        <v>109</v>
      </c>
      <c r="C40" s="225">
        <v>1.8</v>
      </c>
      <c r="G40" s="192" t="s">
        <v>85</v>
      </c>
      <c r="H40" s="193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283"/>
      <c r="Q40" s="284"/>
      <c r="T40" s="237" t="s">
        <v>169</v>
      </c>
      <c r="U40" s="238">
        <v>1</v>
      </c>
      <c r="V40" s="239">
        <f>V39*U40</f>
        <v>545.48233333333337</v>
      </c>
    </row>
    <row r="41" spans="2:22" ht="13.5" thickBot="1" x14ac:dyDescent="0.25">
      <c r="B41" s="175" t="s">
        <v>110</v>
      </c>
      <c r="C41" s="225">
        <v>1.6</v>
      </c>
      <c r="L41" s="194" t="s">
        <v>16</v>
      </c>
      <c r="M41" s="195">
        <f>(M37+Q18)/Q25</f>
        <v>5.0646542589129387E-2</v>
      </c>
      <c r="P41" s="289" t="s">
        <v>188</v>
      </c>
      <c r="Q41" s="289"/>
    </row>
    <row r="42" spans="2:22" ht="13.5" thickBot="1" x14ac:dyDescent="0.25">
      <c r="B42" s="175" t="s">
        <v>111</v>
      </c>
      <c r="C42" s="225">
        <v>1.4</v>
      </c>
      <c r="G42" s="88" t="s">
        <v>100</v>
      </c>
      <c r="H42" s="196">
        <f>H36*H40</f>
        <v>1743000.0000000002</v>
      </c>
      <c r="I42" s="197" t="s">
        <v>99</v>
      </c>
      <c r="L42" s="194" t="s">
        <v>17</v>
      </c>
      <c r="M42" s="195">
        <f>(M37+M38+Q18)/Q25</f>
        <v>6.7909166964579118E-2</v>
      </c>
      <c r="P42" s="240" t="s">
        <v>189</v>
      </c>
      <c r="Q42" s="246">
        <f>Q23</f>
        <v>1649.443759074222</v>
      </c>
    </row>
    <row r="43" spans="2:22" ht="13.5" thickBot="1" x14ac:dyDescent="0.25">
      <c r="B43" s="175" t="s">
        <v>112</v>
      </c>
      <c r="C43" s="225">
        <v>1.2</v>
      </c>
      <c r="G43" s="88" t="s">
        <v>101</v>
      </c>
      <c r="H43" s="196">
        <v>1024</v>
      </c>
      <c r="I43" s="197" t="s">
        <v>99</v>
      </c>
    </row>
    <row r="44" spans="2:22" ht="13.5" thickBot="1" x14ac:dyDescent="0.25">
      <c r="B44" s="175" t="s">
        <v>113</v>
      </c>
      <c r="C44" s="225">
        <v>1</v>
      </c>
      <c r="G44" s="88" t="s">
        <v>102</v>
      </c>
      <c r="H44" s="198">
        <v>0.05</v>
      </c>
      <c r="I44" s="197"/>
      <c r="K44" s="302" t="s">
        <v>128</v>
      </c>
      <c r="L44" s="303"/>
      <c r="M44" s="303"/>
      <c r="N44" s="304"/>
      <c r="O44" s="226"/>
      <c r="P44" s="240" t="s">
        <v>174</v>
      </c>
      <c r="Q44" s="257">
        <f>(Q42*R44)/Q22</f>
        <v>1649.443759074222</v>
      </c>
      <c r="R44" s="259">
        <v>0.13</v>
      </c>
    </row>
    <row r="45" spans="2:22" ht="13.5" thickBot="1" x14ac:dyDescent="0.25">
      <c r="B45" s="175" t="s">
        <v>114</v>
      </c>
      <c r="C45" s="225">
        <v>0.8</v>
      </c>
      <c r="K45" s="199" t="s">
        <v>52</v>
      </c>
      <c r="L45" s="199" t="s">
        <v>62</v>
      </c>
      <c r="M45" s="199" t="s">
        <v>67</v>
      </c>
      <c r="N45" s="199" t="s">
        <v>0</v>
      </c>
      <c r="O45" s="252"/>
      <c r="P45" s="240" t="s">
        <v>176</v>
      </c>
      <c r="Q45" s="258">
        <f>(Q42*R45)/Q22</f>
        <v>0</v>
      </c>
      <c r="R45" s="259">
        <v>0</v>
      </c>
    </row>
    <row r="46" spans="2:22" ht="15" x14ac:dyDescent="0.2">
      <c r="B46" s="175" t="s">
        <v>116</v>
      </c>
      <c r="C46" s="225">
        <v>0.6</v>
      </c>
      <c r="G46" s="88" t="s">
        <v>103</v>
      </c>
      <c r="H46" s="196">
        <f>(H42*H44)+H42</f>
        <v>1830150.0000000002</v>
      </c>
      <c r="I46" s="197" t="s">
        <v>99</v>
      </c>
      <c r="K46" s="324">
        <v>0</v>
      </c>
      <c r="L46" s="200" t="s">
        <v>120</v>
      </c>
      <c r="M46" s="327">
        <v>22000</v>
      </c>
      <c r="N46" s="327">
        <f>M46*K46</f>
        <v>0</v>
      </c>
      <c r="O46" s="253"/>
    </row>
    <row r="47" spans="2:22" ht="15.75" x14ac:dyDescent="0.25">
      <c r="B47" s="175" t="s">
        <v>118</v>
      </c>
      <c r="C47" s="225">
        <v>0.35</v>
      </c>
      <c r="G47" s="88" t="s">
        <v>104</v>
      </c>
      <c r="H47" s="201">
        <f>H46/H43</f>
        <v>1787.2558593750002</v>
      </c>
      <c r="I47" s="197" t="s">
        <v>106</v>
      </c>
      <c r="K47" s="325"/>
      <c r="L47" s="202" t="s">
        <v>121</v>
      </c>
      <c r="M47" s="328"/>
      <c r="N47" s="328"/>
      <c r="O47" s="253"/>
      <c r="P47" s="287" t="s">
        <v>175</v>
      </c>
      <c r="Q47" s="288">
        <f>Q39-Q42</f>
        <v>3548.6035063762829</v>
      </c>
    </row>
    <row r="48" spans="2:22" ht="15" x14ac:dyDescent="0.2">
      <c r="B48" s="175" t="s">
        <v>117</v>
      </c>
      <c r="C48" s="225">
        <v>0.25</v>
      </c>
      <c r="G48" s="88" t="s">
        <v>105</v>
      </c>
      <c r="H48" s="196">
        <f>H46*I48</f>
        <v>183015.00000000003</v>
      </c>
      <c r="I48" s="203">
        <v>0.1</v>
      </c>
      <c r="K48" s="325"/>
      <c r="L48" s="202" t="s">
        <v>122</v>
      </c>
      <c r="M48" s="328"/>
      <c r="N48" s="328"/>
      <c r="O48" s="253"/>
    </row>
    <row r="49" spans="7:15" ht="15" x14ac:dyDescent="0.2">
      <c r="G49" s="88" t="s">
        <v>107</v>
      </c>
      <c r="H49" s="204">
        <f>H48*12</f>
        <v>2196180.0000000005</v>
      </c>
      <c r="I49" s="197" t="s">
        <v>99</v>
      </c>
      <c r="K49" s="325"/>
      <c r="L49" s="202" t="s">
        <v>123</v>
      </c>
      <c r="M49" s="328"/>
      <c r="N49" s="328"/>
      <c r="O49" s="253"/>
    </row>
    <row r="50" spans="7:15" ht="15" x14ac:dyDescent="0.2">
      <c r="K50" s="325"/>
      <c r="L50" s="202" t="s">
        <v>124</v>
      </c>
      <c r="M50" s="328"/>
      <c r="N50" s="328"/>
      <c r="O50" s="253"/>
    </row>
    <row r="51" spans="7:15" ht="15.75" thickBot="1" x14ac:dyDescent="0.3">
      <c r="G51" s="205" t="s">
        <v>108</v>
      </c>
      <c r="H51" s="206">
        <f>(H46+H49)/H43</f>
        <v>3931.9628906250009</v>
      </c>
      <c r="I51" s="207" t="s">
        <v>106</v>
      </c>
      <c r="K51" s="326"/>
      <c r="L51" s="208" t="s">
        <v>125</v>
      </c>
      <c r="M51" s="329"/>
      <c r="N51" s="329"/>
      <c r="O51" s="253"/>
    </row>
    <row r="52" spans="7:15" ht="13.5" thickBot="1" x14ac:dyDescent="0.25">
      <c r="K52" s="209">
        <v>0</v>
      </c>
      <c r="L52" s="210" t="s">
        <v>126</v>
      </c>
      <c r="M52" s="211">
        <v>5000</v>
      </c>
      <c r="N52" s="211">
        <f>M52*K52</f>
        <v>0</v>
      </c>
      <c r="O52" s="254"/>
    </row>
    <row r="53" spans="7:15" ht="13.5" thickBot="1" x14ac:dyDescent="0.25">
      <c r="K53" s="209">
        <v>0</v>
      </c>
      <c r="L53" s="210" t="s">
        <v>127</v>
      </c>
      <c r="M53" s="211">
        <v>9900</v>
      </c>
      <c r="N53" s="211">
        <f>M53*K53</f>
        <v>0</v>
      </c>
      <c r="O53" s="254"/>
    </row>
    <row r="54" spans="7:15" ht="13.5" thickBot="1" x14ac:dyDescent="0.25">
      <c r="O54" s="255"/>
    </row>
    <row r="55" spans="7:15" ht="13.5" thickBot="1" x14ac:dyDescent="0.25">
      <c r="M55" s="103" t="s">
        <v>0</v>
      </c>
      <c r="N55" s="211">
        <f>SUM(N46:N53)</f>
        <v>0</v>
      </c>
      <c r="O55" s="254"/>
    </row>
    <row r="56" spans="7:15" x14ac:dyDescent="0.2">
      <c r="O56" s="255"/>
    </row>
    <row r="57" spans="7:15" ht="13.5" thickBot="1" x14ac:dyDescent="0.25">
      <c r="O57" s="255"/>
    </row>
    <row r="58" spans="7:15" ht="15" x14ac:dyDescent="0.25">
      <c r="K58" s="315" t="s">
        <v>130</v>
      </c>
      <c r="L58" s="316"/>
      <c r="M58" s="316"/>
      <c r="N58" s="317"/>
      <c r="O58" s="256"/>
    </row>
    <row r="59" spans="7:15" ht="15" x14ac:dyDescent="0.25">
      <c r="K59" s="318" t="s">
        <v>131</v>
      </c>
      <c r="L59" s="319"/>
      <c r="M59" s="319"/>
      <c r="N59" s="320"/>
      <c r="O59" s="256"/>
    </row>
    <row r="60" spans="7:15" ht="15.75" thickBot="1" x14ac:dyDescent="0.3">
      <c r="K60" s="321" t="s">
        <v>151</v>
      </c>
      <c r="L60" s="322"/>
      <c r="M60" s="322"/>
      <c r="N60" s="323"/>
      <c r="O60" s="256"/>
    </row>
    <row r="61" spans="7:15" ht="13.5" thickBot="1" x14ac:dyDescent="0.25">
      <c r="K61" s="199" t="s">
        <v>52</v>
      </c>
      <c r="L61" s="199" t="s">
        <v>132</v>
      </c>
      <c r="M61" s="199" t="s">
        <v>133</v>
      </c>
      <c r="N61" s="199" t="s">
        <v>134</v>
      </c>
      <c r="O61" s="252"/>
    </row>
    <row r="62" spans="7:15" x14ac:dyDescent="0.2">
      <c r="K62" s="212">
        <v>0</v>
      </c>
      <c r="L62" s="213" t="s">
        <v>135</v>
      </c>
      <c r="M62" s="214" t="s">
        <v>136</v>
      </c>
      <c r="N62" s="215">
        <v>0</v>
      </c>
      <c r="O62" s="248"/>
    </row>
    <row r="63" spans="7:15" x14ac:dyDescent="0.2">
      <c r="K63" s="212">
        <v>0</v>
      </c>
      <c r="L63" s="216" t="s">
        <v>137</v>
      </c>
      <c r="M63" s="212" t="s">
        <v>138</v>
      </c>
      <c r="N63" s="217">
        <v>859.68</v>
      </c>
      <c r="O63" s="248"/>
    </row>
    <row r="64" spans="7:15" x14ac:dyDescent="0.2">
      <c r="K64" s="212">
        <v>0</v>
      </c>
      <c r="L64" s="216" t="s">
        <v>139</v>
      </c>
      <c r="M64" s="212" t="s">
        <v>140</v>
      </c>
      <c r="N64" s="217">
        <v>15703</v>
      </c>
      <c r="O64" s="248"/>
    </row>
    <row r="65" spans="11:15" x14ac:dyDescent="0.2">
      <c r="K65" s="212">
        <v>0</v>
      </c>
      <c r="L65" s="216" t="s">
        <v>141</v>
      </c>
      <c r="M65" s="212" t="s">
        <v>142</v>
      </c>
      <c r="N65" s="217">
        <v>0</v>
      </c>
      <c r="O65" s="248"/>
    </row>
    <row r="66" spans="11:15" x14ac:dyDescent="0.2">
      <c r="K66" s="212">
        <v>0</v>
      </c>
      <c r="L66" s="216" t="s">
        <v>143</v>
      </c>
      <c r="M66" s="212" t="s">
        <v>144</v>
      </c>
      <c r="N66" s="217">
        <v>520.48</v>
      </c>
      <c r="O66" s="248"/>
    </row>
    <row r="67" spans="11:15" x14ac:dyDescent="0.2">
      <c r="K67" s="212">
        <v>0</v>
      </c>
      <c r="L67" s="216" t="s">
        <v>145</v>
      </c>
      <c r="M67" s="212" t="s">
        <v>146</v>
      </c>
      <c r="N67" s="217">
        <v>3920</v>
      </c>
      <c r="O67" s="248"/>
    </row>
    <row r="68" spans="11:15" ht="13.5" thickBot="1" x14ac:dyDescent="0.25">
      <c r="K68" s="218">
        <v>0</v>
      </c>
      <c r="L68" s="219" t="s">
        <v>147</v>
      </c>
      <c r="M68" s="218" t="s">
        <v>148</v>
      </c>
      <c r="N68" s="220">
        <v>595</v>
      </c>
      <c r="O68" s="248"/>
    </row>
    <row r="69" spans="11:15" ht="13.5" thickBot="1" x14ac:dyDescent="0.25"/>
    <row r="70" spans="11:15" ht="15.75" thickBot="1" x14ac:dyDescent="0.25">
      <c r="M70" s="221" t="s">
        <v>0</v>
      </c>
      <c r="N70" s="211">
        <f>SUM(N62:N69)</f>
        <v>21598.16</v>
      </c>
      <c r="O70" s="249"/>
    </row>
    <row r="71" spans="11:15" ht="13.5" thickBot="1" x14ac:dyDescent="0.25"/>
    <row r="72" spans="11:15" ht="15.75" thickBot="1" x14ac:dyDescent="0.25">
      <c r="M72" s="221" t="s">
        <v>152</v>
      </c>
      <c r="N72" s="222">
        <v>1000000</v>
      </c>
      <c r="O72" s="250"/>
    </row>
    <row r="73" spans="11:15" ht="13.5" thickBot="1" x14ac:dyDescent="0.25"/>
    <row r="74" spans="11:15" ht="15.75" thickBot="1" x14ac:dyDescent="0.25">
      <c r="M74" s="223" t="s">
        <v>153</v>
      </c>
      <c r="N74" s="224">
        <f>N70/N72</f>
        <v>2.1598159999999998E-2</v>
      </c>
      <c r="O74" s="251"/>
    </row>
  </sheetData>
  <mergeCells count="27">
    <mergeCell ref="K58:N58"/>
    <mergeCell ref="K59:N59"/>
    <mergeCell ref="K60:N60"/>
    <mergeCell ref="K44:N44"/>
    <mergeCell ref="K46:K51"/>
    <mergeCell ref="M46:M51"/>
    <mergeCell ref="N46:N51"/>
    <mergeCell ref="T10:U10"/>
    <mergeCell ref="L31:M31"/>
    <mergeCell ref="P16:Q16"/>
    <mergeCell ref="B13:F13"/>
    <mergeCell ref="L36:M36"/>
    <mergeCell ref="B22:F22"/>
    <mergeCell ref="T31:V31"/>
    <mergeCell ref="T32:U32"/>
    <mergeCell ref="L2:M2"/>
    <mergeCell ref="P2:Q2"/>
    <mergeCell ref="B5:F5"/>
    <mergeCell ref="L9:M9"/>
    <mergeCell ref="L25:M25"/>
    <mergeCell ref="C6:D6"/>
    <mergeCell ref="C14:D14"/>
    <mergeCell ref="P41:Q41"/>
    <mergeCell ref="T38:U38"/>
    <mergeCell ref="T39:U39"/>
    <mergeCell ref="P29:Q29"/>
    <mergeCell ref="P21:Q21"/>
  </mergeCells>
  <conditionalFormatting sqref="H40">
    <cfRule type="containsText" dxfId="0" priority="1" operator="containsText" text="INCORRECTO">
      <formula>NOT(ISERROR(SEARCH("INCORRECTO",H40)))</formula>
    </cfRule>
  </conditionalFormatting>
  <dataValidations disablePrompts="1" count="3">
    <dataValidation type="list" allowBlank="1" showInputMessage="1" showErrorMessage="1" sqref="H37" xr:uid="{56AC63C3-83E3-4149-B6D9-2FE2324C2B68}">
      <formula1>$C$26:$C$33</formula1>
    </dataValidation>
    <dataValidation type="list" allowBlank="1" showInputMessage="1" showErrorMessage="1" sqref="H39" xr:uid="{A651ECD1-AB25-401E-8504-783C465EA89E}">
      <formula1>$H$29:$H$30</formula1>
    </dataValidation>
    <dataValidation type="list" allowBlank="1" showInputMessage="1" showErrorMessage="1" sqref="H38" xr:uid="{48B44DCC-E96A-4C39-AF9B-B173EFF1F632}">
      <formula1>$D$31:$D$32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30"/>
  <sheetViews>
    <sheetView workbookViewId="0">
      <selection activeCell="D4" sqref="D4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330" t="s">
        <v>40</v>
      </c>
      <c r="D2" s="331"/>
      <c r="E2" s="331"/>
      <c r="F2" s="331"/>
      <c r="G2" s="332"/>
    </row>
    <row r="3" spans="3:18" ht="45.75" thickBot="1" x14ac:dyDescent="0.3">
      <c r="C3" s="8" t="s">
        <v>41</v>
      </c>
      <c r="D3" s="9" t="s">
        <v>42</v>
      </c>
      <c r="E3" s="8" t="s">
        <v>43</v>
      </c>
      <c r="F3" s="8" t="s">
        <v>44</v>
      </c>
      <c r="G3" s="10" t="s">
        <v>45</v>
      </c>
      <c r="J3" s="11" t="s">
        <v>46</v>
      </c>
      <c r="K3" s="11" t="s">
        <v>47</v>
      </c>
      <c r="M3" s="333" t="s">
        <v>40</v>
      </c>
      <c r="N3" s="334"/>
      <c r="O3" s="334"/>
      <c r="P3" s="334"/>
      <c r="Q3" s="335"/>
    </row>
    <row r="4" spans="3:18" ht="45.75" thickBot="1" x14ac:dyDescent="0.3">
      <c r="C4" s="12">
        <v>1</v>
      </c>
      <c r="D4" s="12">
        <v>5</v>
      </c>
      <c r="E4" s="13">
        <f>+(23.1818181818182)/8</f>
        <v>2.8977272727272751</v>
      </c>
      <c r="F4" s="13">
        <f>E4*D4</f>
        <v>14.488636363636376</v>
      </c>
      <c r="G4" s="13">
        <f>+F4*2</f>
        <v>28.977272727272751</v>
      </c>
      <c r="H4" s="14"/>
      <c r="J4" s="15">
        <f>+E4*4</f>
        <v>11.590909090909101</v>
      </c>
      <c r="K4" s="16">
        <f>+J4*2</f>
        <v>23.181818181818201</v>
      </c>
      <c r="M4" s="17" t="s">
        <v>41</v>
      </c>
      <c r="N4" s="18" t="s">
        <v>22</v>
      </c>
      <c r="O4" s="19" t="s">
        <v>48</v>
      </c>
      <c r="P4" s="20" t="s">
        <v>1</v>
      </c>
      <c r="Q4" s="21" t="s">
        <v>0</v>
      </c>
    </row>
    <row r="5" spans="3:18" ht="15.75" thickBot="1" x14ac:dyDescent="0.3">
      <c r="G5" s="22"/>
      <c r="M5" s="23">
        <v>16.64</v>
      </c>
      <c r="N5" s="24" t="s">
        <v>49</v>
      </c>
      <c r="O5" s="25">
        <f>F28</f>
        <v>173.90633333333332</v>
      </c>
      <c r="P5" s="26">
        <f>F29</f>
        <v>20.868759999999998</v>
      </c>
      <c r="Q5" s="27">
        <f>F30</f>
        <v>194.77509333333333</v>
      </c>
    </row>
    <row r="6" spans="3:18" ht="15.75" thickBot="1" x14ac:dyDescent="0.3">
      <c r="F6" s="28" t="s">
        <v>1</v>
      </c>
      <c r="G6" s="29">
        <f>+G4*0.12</f>
        <v>3.4772727272727302</v>
      </c>
      <c r="I6">
        <f>+G4/4</f>
        <v>7.2443181818181879</v>
      </c>
    </row>
    <row r="7" spans="3:18" ht="15.75" thickBot="1" x14ac:dyDescent="0.3">
      <c r="F7" s="28" t="s">
        <v>35</v>
      </c>
      <c r="G7" s="30">
        <f>+G4+G6</f>
        <v>32.454545454545482</v>
      </c>
      <c r="M7" s="31"/>
      <c r="N7" s="32"/>
      <c r="O7" s="33"/>
      <c r="P7" s="34"/>
      <c r="Q7" s="35"/>
    </row>
    <row r="10" spans="3:18" x14ac:dyDescent="0.25">
      <c r="G10" s="7">
        <f>G7+83.22</f>
        <v>115.67454545454548</v>
      </c>
    </row>
    <row r="13" spans="3:18" ht="15.75" thickBot="1" x14ac:dyDescent="0.3">
      <c r="H13" s="36" t="s">
        <v>50</v>
      </c>
      <c r="N13" s="36" t="s">
        <v>38</v>
      </c>
    </row>
    <row r="14" spans="3:18" ht="15.75" thickBot="1" x14ac:dyDescent="0.3">
      <c r="H14" s="37" t="s">
        <v>51</v>
      </c>
      <c r="I14" s="37" t="s">
        <v>52</v>
      </c>
      <c r="J14" s="38" t="s">
        <v>53</v>
      </c>
      <c r="K14" s="39" t="s">
        <v>22</v>
      </c>
      <c r="L14" s="38" t="s">
        <v>0</v>
      </c>
      <c r="N14" s="40" t="s">
        <v>38</v>
      </c>
      <c r="O14" s="41" t="s">
        <v>54</v>
      </c>
      <c r="P14" s="42" t="s">
        <v>55</v>
      </c>
      <c r="Q14" s="42" t="s">
        <v>0</v>
      </c>
      <c r="R14" s="43"/>
    </row>
    <row r="15" spans="3:18" ht="15.75" thickBot="1" x14ac:dyDescent="0.3">
      <c r="H15" s="44">
        <v>1000</v>
      </c>
      <c r="I15" s="44">
        <v>1</v>
      </c>
      <c r="J15" s="45">
        <v>36</v>
      </c>
      <c r="K15" s="44">
        <v>22</v>
      </c>
      <c r="L15" s="45">
        <f>((H15/J15)/K15)</f>
        <v>1.2626262626262628</v>
      </c>
      <c r="N15" s="46">
        <v>1</v>
      </c>
      <c r="O15" s="47">
        <v>517.20000000000005</v>
      </c>
      <c r="P15" s="48">
        <v>22</v>
      </c>
      <c r="Q15" s="49">
        <f>O15/P15</f>
        <v>23.509090909090911</v>
      </c>
    </row>
    <row r="16" spans="3:18" ht="15.75" thickBot="1" x14ac:dyDescent="0.3"/>
    <row r="17" spans="2:17" x14ac:dyDescent="0.25">
      <c r="H17" s="37" t="s">
        <v>56</v>
      </c>
      <c r="I17" s="37" t="s">
        <v>52</v>
      </c>
      <c r="J17" s="38" t="s">
        <v>53</v>
      </c>
      <c r="K17" s="39" t="s">
        <v>22</v>
      </c>
      <c r="L17" s="38" t="s">
        <v>0</v>
      </c>
      <c r="N17" s="50"/>
      <c r="O17" s="51"/>
      <c r="P17" s="52"/>
      <c r="Q17" s="53"/>
    </row>
    <row r="18" spans="2:17" x14ac:dyDescent="0.25">
      <c r="H18" s="44">
        <v>2000</v>
      </c>
      <c r="I18" s="44">
        <v>1</v>
      </c>
      <c r="J18" s="45">
        <v>36</v>
      </c>
      <c r="K18" s="44">
        <v>22</v>
      </c>
      <c r="L18" s="45">
        <f>((H18/J18)/K18)</f>
        <v>2.5252525252525255</v>
      </c>
    </row>
    <row r="19" spans="2:17" ht="15.75" thickBot="1" x14ac:dyDescent="0.3">
      <c r="N19" s="50"/>
      <c r="O19" s="52"/>
      <c r="P19" s="52"/>
      <c r="Q19" s="53"/>
    </row>
    <row r="20" spans="2:17" ht="15.75" thickBot="1" x14ac:dyDescent="0.3">
      <c r="C20" s="336" t="s">
        <v>39</v>
      </c>
      <c r="D20" s="337"/>
      <c r="E20" s="337"/>
      <c r="F20" s="338"/>
      <c r="H20" s="54" t="s">
        <v>57</v>
      </c>
      <c r="I20" s="55">
        <v>3.79</v>
      </c>
    </row>
    <row r="21" spans="2:17" ht="15.75" thickBot="1" x14ac:dyDescent="0.3">
      <c r="C21" s="56" t="s">
        <v>3</v>
      </c>
      <c r="D21" s="57" t="s">
        <v>56</v>
      </c>
      <c r="E21" s="57" t="s">
        <v>51</v>
      </c>
      <c r="F21" s="58" t="s">
        <v>0</v>
      </c>
      <c r="H21" s="59" t="s">
        <v>38</v>
      </c>
      <c r="I21" s="60">
        <f>Q15</f>
        <v>23.509090909090911</v>
      </c>
    </row>
    <row r="22" spans="2:17" ht="15.75" thickBot="1" x14ac:dyDescent="0.3">
      <c r="B22" s="61"/>
      <c r="C22" s="62" t="s">
        <v>57</v>
      </c>
      <c r="D22" s="63">
        <f>L18</f>
        <v>2.5252525252525255</v>
      </c>
      <c r="E22" s="64">
        <f>L15</f>
        <v>1.2626262626262628</v>
      </c>
      <c r="F22" s="65">
        <f>D22+E22</f>
        <v>3.7878787878787881</v>
      </c>
      <c r="H22" s="66" t="s">
        <v>58</v>
      </c>
      <c r="I22" s="55">
        <v>25</v>
      </c>
    </row>
    <row r="23" spans="2:17" ht="16.5" thickTop="1" thickBot="1" x14ac:dyDescent="0.3">
      <c r="C23" s="67" t="s">
        <v>38</v>
      </c>
      <c r="D23" s="6"/>
      <c r="E23" s="6"/>
      <c r="F23" s="68">
        <f>I21</f>
        <v>23.509090909090911</v>
      </c>
      <c r="H23" s="69" t="s">
        <v>33</v>
      </c>
      <c r="I23" s="60">
        <v>50</v>
      </c>
      <c r="J23" s="70" t="s">
        <v>59</v>
      </c>
      <c r="K23" s="71">
        <f>I24*J24</f>
        <v>51.149545454545454</v>
      </c>
    </row>
    <row r="24" spans="2:17" ht="16.5" thickTop="1" thickBot="1" x14ac:dyDescent="0.3">
      <c r="C24" s="67" t="s">
        <v>33</v>
      </c>
      <c r="D24" s="6"/>
      <c r="E24" s="6"/>
      <c r="F24" s="68">
        <v>50</v>
      </c>
      <c r="H24" s="72" t="s">
        <v>0</v>
      </c>
      <c r="I24" s="73">
        <f>SUM(I20:I23)</f>
        <v>102.29909090909091</v>
      </c>
      <c r="J24" s="74">
        <v>0.5</v>
      </c>
    </row>
    <row r="25" spans="2:17" ht="16.5" thickTop="1" thickBot="1" x14ac:dyDescent="0.3">
      <c r="C25" s="75" t="s">
        <v>58</v>
      </c>
      <c r="F25" s="76">
        <f>I22</f>
        <v>25</v>
      </c>
      <c r="J25" s="70" t="s">
        <v>60</v>
      </c>
      <c r="K25" s="71">
        <f>I24*J26</f>
        <v>20.459818181818182</v>
      </c>
    </row>
    <row r="26" spans="2:17" ht="16.5" thickTop="1" thickBot="1" x14ac:dyDescent="0.3">
      <c r="C26" s="77" t="s">
        <v>60</v>
      </c>
      <c r="D26" s="78">
        <f>+J26</f>
        <v>0.2</v>
      </c>
      <c r="F26" s="76">
        <f>+K25</f>
        <v>20.459818181818182</v>
      </c>
      <c r="J26" s="74">
        <v>0.2</v>
      </c>
    </row>
    <row r="27" spans="2:17" ht="16.5" thickTop="1" thickBot="1" x14ac:dyDescent="0.3">
      <c r="C27" s="79" t="s">
        <v>59</v>
      </c>
      <c r="D27" s="80">
        <f>+J24</f>
        <v>0.5</v>
      </c>
      <c r="E27" s="6"/>
      <c r="F27" s="3">
        <f>K23</f>
        <v>51.149545454545454</v>
      </c>
    </row>
    <row r="28" spans="2:17" x14ac:dyDescent="0.25">
      <c r="C28" s="1"/>
      <c r="D28" s="1"/>
      <c r="E28" s="4" t="s">
        <v>2</v>
      </c>
      <c r="F28" s="3">
        <f>SUM(F22:F27)</f>
        <v>173.90633333333332</v>
      </c>
    </row>
    <row r="29" spans="2:17" ht="15.75" thickBot="1" x14ac:dyDescent="0.3">
      <c r="C29" s="1"/>
      <c r="D29" s="1"/>
      <c r="E29" s="4" t="s">
        <v>1</v>
      </c>
      <c r="F29" s="3">
        <f>F28*12%</f>
        <v>20.868759999999998</v>
      </c>
    </row>
    <row r="30" spans="2:17" ht="15.75" thickBot="1" x14ac:dyDescent="0.3">
      <c r="C30" s="2"/>
      <c r="D30" s="1"/>
      <c r="E30" s="5" t="s">
        <v>0</v>
      </c>
      <c r="F30" s="81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Costo Digitalización Tipo 1</vt:lpstr>
      <vt:lpstr>Analisis de Costo Radicación </vt:lpstr>
      <vt:lpstr>Rendimiento Samsung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Sofía Chiriboga</cp:lastModifiedBy>
  <cp:lastPrinted>2015-12-23T20:01:33Z</cp:lastPrinted>
  <dcterms:created xsi:type="dcterms:W3CDTF">2009-04-21T01:08:50Z</dcterms:created>
  <dcterms:modified xsi:type="dcterms:W3CDTF">2018-10-31T16:57:46Z</dcterms:modified>
</cp:coreProperties>
</file>