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sorcomercial\Desktop\VENTAS\YEPEZ &amp; VACA ABOGADOS\"/>
    </mc:Choice>
  </mc:AlternateContent>
  <bookViews>
    <workbookView xWindow="0" yWindow="0" windowWidth="20490" windowHeight="6930" tabRatio="733" activeTab="2"/>
  </bookViews>
  <sheets>
    <sheet name="Analisis Costo carpetas Bennett" sheetId="14" r:id="rId1"/>
    <sheet name="Analisis Costo carpetas manila" sheetId="20" r:id="rId2"/>
    <sheet name="Analisis Costo Total" sheetId="21" r:id="rId3"/>
    <sheet name="Analisis de Costo Radicación " sheetId="18" r:id="rId4"/>
    <sheet name="Rendimiento Ecogal" sheetId="19" r:id="rId5"/>
    <sheet name="Rendimiento Samsung" sheetId="17" r:id="rId6"/>
  </sheets>
  <externalReferences>
    <externalReference r:id="rId7"/>
  </externalReferences>
  <calcPr calcId="152511"/>
</workbook>
</file>

<file path=xl/calcChain.xml><?xml version="1.0" encoding="utf-8"?>
<calcChain xmlns="http://schemas.openxmlformats.org/spreadsheetml/2006/main">
  <c r="C7" i="21" l="1"/>
  <c r="N70" i="21" l="1"/>
  <c r="N74" i="21" s="1"/>
  <c r="M27" i="21" s="1"/>
  <c r="N53" i="21"/>
  <c r="N52" i="21"/>
  <c r="N46" i="21"/>
  <c r="N55" i="21" s="1"/>
  <c r="M26" i="21" s="1"/>
  <c r="H40" i="21"/>
  <c r="V37" i="21"/>
  <c r="V36" i="21"/>
  <c r="H36" i="21"/>
  <c r="H42" i="21" s="1"/>
  <c r="H46" i="21" s="1"/>
  <c r="V35" i="21"/>
  <c r="V34" i="21"/>
  <c r="V33" i="21"/>
  <c r="V38" i="21" s="1"/>
  <c r="L33" i="21"/>
  <c r="U25" i="21"/>
  <c r="Q25" i="21"/>
  <c r="M21" i="21"/>
  <c r="AC20" i="21"/>
  <c r="M18" i="21"/>
  <c r="AC17" i="21"/>
  <c r="M15" i="21"/>
  <c r="V5" i="21"/>
  <c r="M6" i="21" s="1"/>
  <c r="Q4" i="21"/>
  <c r="Q3" i="21"/>
  <c r="Q14" i="21" s="1"/>
  <c r="M33" i="21" s="1"/>
  <c r="Q32" i="21" s="1"/>
  <c r="M3" i="21"/>
  <c r="Y2" i="21"/>
  <c r="X2" i="21"/>
  <c r="W5" i="21" s="1"/>
  <c r="N70" i="20"/>
  <c r="N74" i="20" s="1"/>
  <c r="M27" i="20" s="1"/>
  <c r="N53" i="20"/>
  <c r="N52" i="20"/>
  <c r="N46" i="20"/>
  <c r="N55" i="20" s="1"/>
  <c r="M26" i="20" s="1"/>
  <c r="H40" i="20"/>
  <c r="V37" i="20"/>
  <c r="V36" i="20"/>
  <c r="H36" i="20"/>
  <c r="H42" i="20" s="1"/>
  <c r="H46" i="20" s="1"/>
  <c r="V35" i="20"/>
  <c r="V34" i="20"/>
  <c r="V33" i="20"/>
  <c r="V38" i="20" s="1"/>
  <c r="L33" i="20"/>
  <c r="U25" i="20"/>
  <c r="Q25" i="20"/>
  <c r="M21" i="20"/>
  <c r="AC20" i="20"/>
  <c r="M18" i="20"/>
  <c r="AC17" i="20"/>
  <c r="M15" i="20"/>
  <c r="W5" i="20"/>
  <c r="V5" i="20"/>
  <c r="M6" i="20" s="1"/>
  <c r="Q4" i="20"/>
  <c r="Q3" i="20"/>
  <c r="Q14" i="20" s="1"/>
  <c r="M33" i="20" s="1"/>
  <c r="Q32" i="20" s="1"/>
  <c r="M3" i="20"/>
  <c r="Y2" i="20"/>
  <c r="X2" i="20"/>
  <c r="Q32" i="14"/>
  <c r="M29" i="20" l="1"/>
  <c r="M29" i="21"/>
  <c r="H47" i="21"/>
  <c r="H48" i="21"/>
  <c r="H49" i="21" s="1"/>
  <c r="H51" i="21" s="1"/>
  <c r="C15" i="21" s="1"/>
  <c r="V39" i="21"/>
  <c r="V40" i="21" s="1"/>
  <c r="M5" i="21"/>
  <c r="M7" i="21"/>
  <c r="M10" i="21" s="1"/>
  <c r="Q31" i="21"/>
  <c r="X5" i="21"/>
  <c r="M11" i="21"/>
  <c r="X5" i="20"/>
  <c r="H47" i="20"/>
  <c r="H48" i="20"/>
  <c r="H49" i="20" s="1"/>
  <c r="H51" i="20" s="1"/>
  <c r="C15" i="20" s="1"/>
  <c r="V39" i="20"/>
  <c r="V40" i="20" s="1"/>
  <c r="M5" i="20"/>
  <c r="Q31" i="20"/>
  <c r="M7" i="20"/>
  <c r="M10" i="20" s="1"/>
  <c r="E15" i="21" l="1"/>
  <c r="F15" i="21" s="1"/>
  <c r="F17" i="21" s="1"/>
  <c r="M12" i="21"/>
  <c r="M22" i="21" s="1"/>
  <c r="M12" i="20"/>
  <c r="M22" i="20" s="1"/>
  <c r="Q30" i="20" s="1"/>
  <c r="E15" i="20"/>
  <c r="F15" i="20" s="1"/>
  <c r="F17" i="20" s="1"/>
  <c r="M32" i="20" l="1"/>
  <c r="M34" i="20" s="1"/>
  <c r="Q18" i="20" s="1"/>
  <c r="Q33" i="20" s="1"/>
  <c r="Q35" i="20" s="1"/>
  <c r="F18" i="21"/>
  <c r="F19" i="21" s="1"/>
  <c r="Q30" i="21"/>
  <c r="M32" i="21"/>
  <c r="M34" i="21" s="1"/>
  <c r="F18" i="20"/>
  <c r="F19" i="20" s="1"/>
  <c r="V5" i="14"/>
  <c r="M6" i="14" s="1"/>
  <c r="X2" i="14"/>
  <c r="W5" i="14" s="1"/>
  <c r="Q18" i="21" l="1"/>
  <c r="Q33" i="21" s="1"/>
  <c r="Q35" i="21" s="1"/>
  <c r="M37" i="20"/>
  <c r="M41" i="20" s="1"/>
  <c r="M37" i="21" l="1"/>
  <c r="M38" i="21" s="1"/>
  <c r="M42" i="21" s="1"/>
  <c r="E7" i="21" s="1"/>
  <c r="F7" i="21" s="1"/>
  <c r="M38" i="20"/>
  <c r="M42" i="20" s="1"/>
  <c r="E7" i="20" s="1"/>
  <c r="F7" i="20" s="1"/>
  <c r="Q37" i="20" s="1"/>
  <c r="Q39" i="20" s="1"/>
  <c r="M41" i="21" l="1"/>
  <c r="Q23" i="21"/>
  <c r="Q42" i="21" s="1"/>
  <c r="Q45" i="21" s="1"/>
  <c r="Q37" i="21"/>
  <c r="Q39" i="21" s="1"/>
  <c r="F9" i="21"/>
  <c r="F9" i="20"/>
  <c r="F10" i="20" s="1"/>
  <c r="Q23" i="20"/>
  <c r="Q42" i="20" s="1"/>
  <c r="Q47" i="21" l="1"/>
  <c r="Q44" i="21"/>
  <c r="F10" i="21"/>
  <c r="F11" i="21" s="1"/>
  <c r="F11" i="20"/>
  <c r="Q45" i="20"/>
  <c r="Q44" i="20"/>
  <c r="Q47" i="20"/>
  <c r="M3" i="14" l="1"/>
  <c r="V36" i="14"/>
  <c r="V35" i="14"/>
  <c r="V34" i="14"/>
  <c r="V33" i="14"/>
  <c r="V37" i="14"/>
  <c r="V38" i="14" l="1"/>
  <c r="Q4" i="14"/>
  <c r="Q3" i="14"/>
  <c r="M21" i="14"/>
  <c r="M18" i="14"/>
  <c r="M15" i="14"/>
  <c r="V39" i="14" l="1"/>
  <c r="V40" i="14" s="1"/>
  <c r="M5" i="14"/>
  <c r="M7" i="14" s="1"/>
  <c r="N70" i="14"/>
  <c r="N74" i="14" s="1"/>
  <c r="M27" i="14" s="1"/>
  <c r="M10" i="14" l="1"/>
  <c r="M12" i="14" s="1"/>
  <c r="M22" i="14" s="1"/>
  <c r="Q30" i="14" s="1"/>
  <c r="E14" i="19"/>
  <c r="F13" i="19"/>
  <c r="G13" i="19" s="1"/>
  <c r="E13" i="19"/>
  <c r="E12" i="19"/>
  <c r="F12" i="19" s="1"/>
  <c r="G12" i="19" s="1"/>
  <c r="E11" i="19"/>
  <c r="F11" i="19" s="1"/>
  <c r="G9" i="19"/>
  <c r="F14" i="19" s="1"/>
  <c r="G14" i="19" s="1"/>
  <c r="G11" i="19" l="1"/>
  <c r="F15" i="19"/>
  <c r="F16" i="19" l="1"/>
  <c r="G16" i="19" s="1"/>
  <c r="G15" i="19"/>
  <c r="N53" i="14" l="1"/>
  <c r="N52" i="14"/>
  <c r="N46" i="14"/>
  <c r="N55" i="14" l="1"/>
  <c r="M26" i="14" s="1"/>
  <c r="M29" i="14" s="1"/>
  <c r="M32" i="14" s="1"/>
  <c r="H40" i="14"/>
  <c r="Q31" i="14" l="1"/>
  <c r="H36" i="14"/>
  <c r="H42" i="14" s="1"/>
  <c r="H46" i="14" s="1"/>
  <c r="H48" i="14" l="1"/>
  <c r="H49" i="14" s="1"/>
  <c r="H51" i="14" s="1"/>
  <c r="C15" i="14" s="1"/>
  <c r="E15" i="14" s="1"/>
  <c r="H47" i="14"/>
  <c r="Y2" i="14"/>
  <c r="F15" i="14" l="1"/>
  <c r="F17" i="14" s="1"/>
  <c r="F18" i="14" s="1"/>
  <c r="Q25" i="14"/>
  <c r="D27" i="18"/>
  <c r="D26" i="18"/>
  <c r="F25" i="18"/>
  <c r="L18" i="18"/>
  <c r="D22" i="18"/>
  <c r="Q15" i="18"/>
  <c r="I21" i="18" s="1"/>
  <c r="L15" i="18"/>
  <c r="E22" i="18"/>
  <c r="E4" i="18"/>
  <c r="J4" i="18" s="1"/>
  <c r="K4" i="18" s="1"/>
  <c r="F22" i="18"/>
  <c r="F4" i="18"/>
  <c r="G4" i="18"/>
  <c r="I6" i="18" s="1"/>
  <c r="AC20" i="14"/>
  <c r="U25" i="14"/>
  <c r="AC17" i="14"/>
  <c r="L33" i="14"/>
  <c r="I24" i="18" l="1"/>
  <c r="F23" i="18"/>
  <c r="G7" i="18"/>
  <c r="G10" i="18" s="1"/>
  <c r="G6" i="18"/>
  <c r="F19" i="14"/>
  <c r="X5" i="14"/>
  <c r="Q14" i="14" s="1"/>
  <c r="M33" i="14" s="1"/>
  <c r="M34" i="14" l="1"/>
  <c r="K25" i="18"/>
  <c r="F26" i="18" s="1"/>
  <c r="F28" i="18" s="1"/>
  <c r="K23" i="18"/>
  <c r="F27" i="18" s="1"/>
  <c r="Q18" i="14" l="1"/>
  <c r="M37" i="14" s="1"/>
  <c r="F29" i="18"/>
  <c r="P5" i="18" s="1"/>
  <c r="O5" i="18"/>
  <c r="M41" i="14" l="1"/>
  <c r="M38" i="14"/>
  <c r="Q23" i="14" s="1"/>
  <c r="Q42" i="14" s="1"/>
  <c r="Q33" i="14"/>
  <c r="Q35" i="14" s="1"/>
  <c r="F30" i="18"/>
  <c r="Q5" i="18" s="1"/>
  <c r="Q45" i="14" l="1"/>
  <c r="Q44" i="14"/>
  <c r="M42" i="14"/>
  <c r="E7" i="14" s="1"/>
  <c r="F7" i="14" s="1"/>
  <c r="F9" i="14" s="1"/>
  <c r="Q37" i="14" l="1"/>
  <c r="Q39" i="14" s="1"/>
  <c r="Q47" i="14" s="1"/>
  <c r="F10" i="14"/>
  <c r="F11" i="14" s="1"/>
</calcChain>
</file>

<file path=xl/comments1.xml><?xml version="1.0" encoding="utf-8"?>
<comments xmlns="http://schemas.openxmlformats.org/spreadsheetml/2006/main">
  <authors>
    <author>User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P21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  <comment ref="V32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<sst xmlns="http://schemas.openxmlformats.org/spreadsheetml/2006/main" count="1186" uniqueCount="226">
  <si>
    <t>Total</t>
  </si>
  <si>
    <t>IVA</t>
  </si>
  <si>
    <t>Sub-Total</t>
  </si>
  <si>
    <t xml:space="preserve">Descripción </t>
  </si>
  <si>
    <t>Precio Total</t>
  </si>
  <si>
    <t>Cantidad de Imágenes a Digitalizar</t>
  </si>
  <si>
    <t>Valor Sectorial del Operario</t>
  </si>
  <si>
    <t>Analisis de Sueldos</t>
  </si>
  <si>
    <t>Recursos Varios</t>
  </si>
  <si>
    <t>Operario variable + 35%</t>
  </si>
  <si>
    <t>Decimos - vacaciones - IESS</t>
  </si>
  <si>
    <t>Nuevo esquema de calculo de Comisión</t>
  </si>
  <si>
    <t>Comisión</t>
  </si>
  <si>
    <t>Comisión (13% de subtotal)</t>
  </si>
  <si>
    <t>Margen de Ganancia</t>
  </si>
  <si>
    <t>Objetivo Margen de Utilidad</t>
  </si>
  <si>
    <t>Costo imágenes</t>
  </si>
  <si>
    <t>PVP Imágenes</t>
  </si>
  <si>
    <t>Insumos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</si>
  <si>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</si>
  <si>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</si>
  <si>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</si>
  <si>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</si>
  <si>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</si>
  <si>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</si>
  <si>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</si>
  <si>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</si>
  <si>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</si>
  <si>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</si>
  <si>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</si>
  <si>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</si>
  <si>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</si>
  <si>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</si>
  <si>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</si>
  <si>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</si>
  <si>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</si>
  <si>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</si>
  <si>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</si>
  <si>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</si>
  <si>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</si>
  <si>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</si>
  <si>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</si>
  <si>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</si>
  <si>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</si>
  <si>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</si>
  <si>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</si>
  <si>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</si>
  <si>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</si>
  <si>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</si>
  <si>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</si>
  <si>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</si>
  <si>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</si>
  <si>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</si>
  <si>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</si>
  <si>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</si>
  <si>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</si>
  <si>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</si>
  <si>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</si>
  <si>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</si>
  <si>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</si>
  <si>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</si>
  <si>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</si>
  <si>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</si>
  <si>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</si>
  <si>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>Digitalización e Indexación</t>
  </si>
  <si>
    <t>Preparación, Clasificación</t>
  </si>
  <si>
    <t>Cantidad</t>
  </si>
  <si>
    <t>Precio Unitario</t>
  </si>
  <si>
    <t>Imágenes</t>
  </si>
  <si>
    <t>Giga-Bites</t>
  </si>
  <si>
    <t xml:space="preserve"> Almacenamiento</t>
  </si>
  <si>
    <t>Propuesta Económica Digitalización e Indexación</t>
  </si>
  <si>
    <t>Calculo de Imágenes en GB</t>
  </si>
  <si>
    <t>Tipo</t>
  </si>
  <si>
    <t>Resolución</t>
  </si>
  <si>
    <t>Modos de Color</t>
  </si>
  <si>
    <t>200 Dpi</t>
  </si>
  <si>
    <t>300 Dpi</t>
  </si>
  <si>
    <t>Color a 24Bits</t>
  </si>
  <si>
    <t xml:space="preserve">Escala de grises a 8 Bits </t>
  </si>
  <si>
    <t>PDF sin Comprimir</t>
  </si>
  <si>
    <t>TIFF sin Comprimir</t>
  </si>
  <si>
    <t>B/N</t>
  </si>
  <si>
    <t>Color</t>
  </si>
  <si>
    <t>Formato de Img.</t>
  </si>
  <si>
    <t>Peso Unitario</t>
  </si>
  <si>
    <t>A2</t>
  </si>
  <si>
    <t>A3</t>
  </si>
  <si>
    <t>A4</t>
  </si>
  <si>
    <t>Size</t>
  </si>
  <si>
    <t xml:space="preserve">Imagen de Texto Impreso </t>
  </si>
  <si>
    <t xml:space="preserve">Imagen de Texto Manuscito </t>
  </si>
  <si>
    <t>Cant. De Imágenes</t>
  </si>
  <si>
    <t>Peso Doc en MB</t>
  </si>
  <si>
    <t>A5</t>
  </si>
  <si>
    <t>A2C</t>
  </si>
  <si>
    <t>A3C</t>
  </si>
  <si>
    <t>A4C</t>
  </si>
  <si>
    <t>A5C</t>
  </si>
  <si>
    <t>MB</t>
  </si>
  <si>
    <t>Peso Total de Img.</t>
  </si>
  <si>
    <t>1 Giga Byte</t>
  </si>
  <si>
    <t>Porcentaje Error</t>
  </si>
  <si>
    <t>Total de Imgenes</t>
  </si>
  <si>
    <t>Total Informacion</t>
  </si>
  <si>
    <t>Incremento Mensual</t>
  </si>
  <si>
    <t>GB</t>
  </si>
  <si>
    <t>Incremento Annual</t>
  </si>
  <si>
    <t>Informacion Annual</t>
  </si>
  <si>
    <t>0 - 100 GIGABYTES</t>
  </si>
  <si>
    <t>101 - 200 GIGABYTES</t>
  </si>
  <si>
    <t>201 - 300 GIGABYTES</t>
  </si>
  <si>
    <t>301 - 400 GIGABYTES</t>
  </si>
  <si>
    <t>401 - 500 GIGABYTES</t>
  </si>
  <si>
    <t>501 - 1000 GIGABYTES</t>
  </si>
  <si>
    <t>RANGOS DE ALMACENAMIENTO</t>
  </si>
  <si>
    <t>1001 - 2000 GIGABYTES</t>
  </si>
  <si>
    <t>MAS DE  10001  GIGABYTES</t>
  </si>
  <si>
    <t>2001 - 10000  GIGABYTES</t>
  </si>
  <si>
    <t>P.V.P. x  GB</t>
  </si>
  <si>
    <t>2 licencias BE Windream Business Edition para LAN Cliente Servidor</t>
  </si>
  <si>
    <t>2 licencia Windream Docview para LAN Cliente Servidor</t>
  </si>
  <si>
    <t>1 licencia Windream Management Console WMC</t>
  </si>
  <si>
    <t xml:space="preserve">1 licencia Windream Extension WMX </t>
  </si>
  <si>
    <t>20 licencias W2P2 Web Portal Pro de contribución</t>
  </si>
  <si>
    <t>64 licencias W2P Web Portal de consulta</t>
  </si>
  <si>
    <t>Implementación y Capacitación</t>
  </si>
  <si>
    <t>Viaticos de Hospedaje</t>
  </si>
  <si>
    <t>PRECIOS SOFTWARE DE CUSTODIA FISICA WINDREAM</t>
  </si>
  <si>
    <t>SOFTWARE DE CUSTODIA FISICA WINDREAM</t>
  </si>
  <si>
    <t>ABBYY FlexiCapture BPO</t>
  </si>
  <si>
    <t>Licencia para Externalización de Servicios.</t>
  </si>
  <si>
    <t>COMPONENTES</t>
  </si>
  <si>
    <t>REFERENCIAS</t>
  </si>
  <si>
    <t>PRECIO $US</t>
  </si>
  <si>
    <t>ABBYY FlexiCapture TPC Basis</t>
  </si>
  <si>
    <t>L11+LD1</t>
  </si>
  <si>
    <t>Soporte Anual para Basis (SM)</t>
  </si>
  <si>
    <t>SMB</t>
  </si>
  <si>
    <t>ABBYY FlexiCapture TPC</t>
  </si>
  <si>
    <t>TLB+LD1</t>
  </si>
  <si>
    <t>ABBYY FlexiCapture TPC Add-Ons</t>
  </si>
  <si>
    <t>TAO</t>
  </si>
  <si>
    <t>ABBYY FlexiCapture TP (SM)</t>
  </si>
  <si>
    <t>SMT+LD3</t>
  </si>
  <si>
    <t>Servicios Profesionales</t>
  </si>
  <si>
    <t>TPS+TD2</t>
  </si>
  <si>
    <t>Transferencia de Conocimiento</t>
  </si>
  <si>
    <t>TKT+TD3</t>
  </si>
  <si>
    <t>SOFTWARE DE DIGITALIZACION ABBYY</t>
  </si>
  <si>
    <t xml:space="preserve"> PROCESO DIGITAL - RENDIMIENTO </t>
  </si>
  <si>
    <t>V</t>
  </si>
  <si>
    <t>L</t>
  </si>
  <si>
    <t>M</t>
  </si>
  <si>
    <t>X</t>
  </si>
  <si>
    <t>J</t>
  </si>
  <si>
    <t>OPERARIOS</t>
  </si>
  <si>
    <t>IMÁGENES</t>
  </si>
  <si>
    <t>DIGITALIZADS</t>
  </si>
  <si>
    <t xml:space="preserve">AGRUPACIONES </t>
  </si>
  <si>
    <t xml:space="preserve">INDEXACIONES </t>
  </si>
  <si>
    <t>1  OPERARIO</t>
  </si>
  <si>
    <t>IE</t>
  </si>
  <si>
    <t>P</t>
  </si>
  <si>
    <t>1 MAQUINA</t>
  </si>
  <si>
    <t>D</t>
  </si>
  <si>
    <t>REN POR HORA</t>
  </si>
  <si>
    <t>REND POR DIA</t>
  </si>
  <si>
    <t>Meses</t>
  </si>
  <si>
    <t>1 SCANNERS</t>
  </si>
  <si>
    <t>R</t>
  </si>
  <si>
    <t>Preparación</t>
  </si>
  <si>
    <t>I</t>
  </si>
  <si>
    <t>E</t>
  </si>
  <si>
    <t>Retorno</t>
  </si>
  <si>
    <t>Carga Windream</t>
  </si>
  <si>
    <t>22 DIAS</t>
  </si>
  <si>
    <t>T</t>
  </si>
  <si>
    <t>COMPLETO</t>
  </si>
  <si>
    <t xml:space="preserve">A LA FECHA </t>
  </si>
  <si>
    <t xml:space="preserve">IMÁGENES </t>
  </si>
  <si>
    <t xml:space="preserve">FECHA INICIO </t>
  </si>
  <si>
    <t>FINALIZACION DE PROYECTO</t>
  </si>
  <si>
    <t>MESES</t>
  </si>
  <si>
    <t>INFORMACION:</t>
  </si>
  <si>
    <t>20 Leitz</t>
  </si>
  <si>
    <t>500 imágenes por Leitz</t>
  </si>
  <si>
    <t>Páginas totales: 100K; Modalidad de Conteo: TDC</t>
  </si>
  <si>
    <t>Total de Pags. X Licencia</t>
  </si>
  <si>
    <t>Costo por Pagina</t>
  </si>
  <si>
    <t>OPE1</t>
  </si>
  <si>
    <t>TIMPO DIAS</t>
  </si>
  <si>
    <t xml:space="preserve">TOT </t>
  </si>
  <si>
    <t>OPE2</t>
  </si>
  <si>
    <t>OPE3</t>
  </si>
  <si>
    <t>OPE4</t>
  </si>
  <si>
    <t>Costo + Margen + Comision</t>
  </si>
  <si>
    <t xml:space="preserve">Computador </t>
  </si>
  <si>
    <t>Decimo Tercero</t>
  </si>
  <si>
    <t>Decimo Cuarto</t>
  </si>
  <si>
    <t>Vacaciones</t>
  </si>
  <si>
    <t>Fondo de Reserva</t>
  </si>
  <si>
    <t>Aporte Patronal</t>
  </si>
  <si>
    <t>Total de Impuestos</t>
  </si>
  <si>
    <t>Costo Operario</t>
  </si>
  <si>
    <t>TOTAL OPERARIOS</t>
  </si>
  <si>
    <t>Gastos</t>
  </si>
  <si>
    <t>Subtotal</t>
  </si>
  <si>
    <t>Valor del Proyecto</t>
  </si>
  <si>
    <t>Utilidad Bruta</t>
  </si>
  <si>
    <t>Comision Gerencia Comercial</t>
  </si>
  <si>
    <t>Utilidad Neta</t>
  </si>
  <si>
    <t>Comision Asesor Comercial</t>
  </si>
  <si>
    <t>Total de Costos</t>
  </si>
  <si>
    <t>Costos de Sistemas de Digitalizacion y Custodia Digital</t>
  </si>
  <si>
    <t>Costos Personal Operativo, Software y Custodia Digital</t>
  </si>
  <si>
    <t xml:space="preserve">COSTO TOTAL DE OPERARIOS </t>
  </si>
  <si>
    <t>Costos Personal Operaciones por Tiempo de Proyecto</t>
  </si>
  <si>
    <t>Personal de Operaciones</t>
  </si>
  <si>
    <t>Sistemas de Digitalización</t>
  </si>
  <si>
    <t>Total Costos + Contingente</t>
  </si>
  <si>
    <t>Minimización del Riesgo</t>
  </si>
  <si>
    <t>% Contingencia</t>
  </si>
  <si>
    <t>Minimización de Riesgo</t>
  </si>
  <si>
    <t>COMISIONES COMERCIALES</t>
  </si>
  <si>
    <t>Comision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</si>
</sst>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-[$$-409]* #,##0.00_ ;_-[$$-409]* \-#,##0.00\ ;_-[$$-409]* &quot;-&quot;??_ ;_-@_ "/>
    <numFmt numFmtId="173" formatCode="_(* #,##0_);_(* \(#,##0\);_(* &quot;-&quot;??_);_(@_)"/>
    <numFmt numFmtId="174" formatCode="0\ &quot;P&quot;"/>
    <numFmt numFmtId="175" formatCode="0\ &quot;F&quot;"/>
    <numFmt numFmtId="176" formatCode="0\ &quot;p/h&quot;"/>
    <numFmt numFmtId="177" formatCode="_-* #,##0\ _€_-;\-* #,##0\ _€_-;_-* &quot;-&quot;??\ _€_-;_-@_-"/>
    <numFmt numFmtId="178" formatCode="0.000"/>
    <numFmt numFmtId="179" formatCode="_-[$$-2C0A]\ * #,##0.00_-;\-[$$-2C0A]\ * #,##0.00_-;_-[$$-2C0A]\ * &quot;-&quot;??_-;_-@_-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</font>
    <font>
      <b/>
      <sz val="11"/>
      <color indexed="8"/>
      <name val="Calibri"/>
      <family val="2"/>
    </font>
    <font>
      <b/>
      <sz val="9"/>
      <color indexed="9"/>
      <name val="Times New Roman"/>
      <family val="1"/>
    </font>
    <font>
      <b/>
      <sz val="11"/>
      <color indexed="9"/>
      <name val="Calibri"/>
      <family val="2"/>
    </font>
    <font>
      <sz val="9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9">
    <xf numFmtId="0" fontId="0" fillId="0" borderId="0" xfId="0"/>
    <xf numFmtId="0" fontId="5" fillId="4" borderId="0" xfId="0" applyFont="1" applyFill="1"/>
    <xf numFmtId="0" fontId="4" fillId="4" borderId="0" xfId="0" applyFont="1" applyFill="1"/>
    <xf numFmtId="171" fontId="5" fillId="4" borderId="5" xfId="1" applyNumberFormat="1" applyFont="1" applyFill="1" applyBorder="1" applyAlignment="1">
      <alignment horizontal="center"/>
    </xf>
    <xf numFmtId="171" fontId="4" fillId="4" borderId="4" xfId="0" applyNumberFormat="1" applyFont="1" applyFill="1" applyBorder="1"/>
    <xf numFmtId="171" fontId="4" fillId="4" borderId="2" xfId="0" applyNumberFormat="1" applyFont="1" applyFill="1" applyBorder="1"/>
    <xf numFmtId="0" fontId="5" fillId="4" borderId="0" xfId="0" applyFont="1" applyFill="1" applyBorder="1" applyAlignment="1">
      <alignment horizontal="center"/>
    </xf>
    <xf numFmtId="167" fontId="0" fillId="0" borderId="0" xfId="0" applyNumberFormat="1"/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6" fillId="10" borderId="21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/>
    <xf numFmtId="2" fontId="0" fillId="0" borderId="28" xfId="0" applyNumberFormat="1" applyBorder="1"/>
    <xf numFmtId="0" fontId="6" fillId="11" borderId="24" xfId="0" applyFont="1" applyFill="1" applyBorder="1" applyAlignment="1">
      <alignment horizontal="center" vertical="top"/>
    </xf>
    <xf numFmtId="2" fontId="10" fillId="5" borderId="14" xfId="0" applyNumberFormat="1" applyFont="1" applyFill="1" applyBorder="1" applyAlignment="1">
      <alignment horizontal="center"/>
    </xf>
    <xf numFmtId="167" fontId="10" fillId="5" borderId="15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9" xfId="0" applyNumberFormat="1" applyBorder="1"/>
    <xf numFmtId="2" fontId="0" fillId="0" borderId="10" xfId="0" applyNumberFormat="1" applyBorder="1"/>
    <xf numFmtId="0" fontId="6" fillId="0" borderId="0" xfId="0" applyFont="1"/>
    <xf numFmtId="0" fontId="4" fillId="11" borderId="30" xfId="0" applyFont="1" applyFill="1" applyBorder="1" applyAlignment="1">
      <alignment horizontal="center"/>
    </xf>
    <xf numFmtId="0" fontId="4" fillId="11" borderId="31" xfId="0" applyFont="1" applyFill="1" applyBorder="1" applyAlignment="1">
      <alignment horizontal="center"/>
    </xf>
    <xf numFmtId="0" fontId="4" fillId="11" borderId="3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6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6" fillId="11" borderId="30" xfId="0" applyFont="1" applyFill="1" applyBorder="1" applyAlignment="1">
      <alignment horizontal="left"/>
    </xf>
    <xf numFmtId="0" fontId="0" fillId="0" borderId="14" xfId="0" applyBorder="1"/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left"/>
    </xf>
    <xf numFmtId="2" fontId="0" fillId="0" borderId="14" xfId="0" applyNumberFormat="1" applyBorder="1"/>
    <xf numFmtId="0" fontId="0" fillId="0" borderId="33" xfId="0" applyBorder="1"/>
    <xf numFmtId="0" fontId="5" fillId="4" borderId="34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35" xfId="0" applyNumberFormat="1" applyBorder="1"/>
    <xf numFmtId="0" fontId="6" fillId="11" borderId="14" xfId="0" applyFont="1" applyFill="1" applyBorder="1"/>
    <xf numFmtId="0" fontId="5" fillId="4" borderId="36" xfId="0" applyFont="1" applyFill="1" applyBorder="1" applyAlignment="1"/>
    <xf numFmtId="171" fontId="5" fillId="4" borderId="33" xfId="1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11" borderId="31" xfId="0" applyFont="1" applyFill="1" applyBorder="1" applyAlignment="1">
      <alignment horizontal="center"/>
    </xf>
    <xf numFmtId="0" fontId="0" fillId="0" borderId="37" xfId="0" applyBorder="1"/>
    <xf numFmtId="0" fontId="6" fillId="0" borderId="0" xfId="0" applyFont="1" applyAlignment="1">
      <alignment horizontal="center"/>
    </xf>
    <xf numFmtId="0" fontId="0" fillId="0" borderId="2" xfId="0" applyBorder="1"/>
    <xf numFmtId="9" fontId="0" fillId="0" borderId="37" xfId="0" applyNumberFormat="1" applyBorder="1"/>
    <xf numFmtId="0" fontId="3" fillId="0" borderId="36" xfId="0" applyFont="1" applyBorder="1" applyAlignment="1"/>
    <xf numFmtId="2" fontId="0" fillId="0" borderId="33" xfId="0" applyNumberFormat="1" applyBorder="1"/>
    <xf numFmtId="0" fontId="0" fillId="0" borderId="36" xfId="0" applyBorder="1" applyAlignment="1"/>
    <xf numFmtId="9" fontId="0" fillId="0" borderId="0" xfId="0" applyNumberFormat="1" applyAlignment="1">
      <alignment horizontal="center"/>
    </xf>
    <xf numFmtId="0" fontId="5" fillId="4" borderId="38" xfId="0" applyFont="1" applyFill="1" applyBorder="1" applyAlignment="1"/>
    <xf numFmtId="9" fontId="5" fillId="4" borderId="8" xfId="0" applyNumberFormat="1" applyFont="1" applyFill="1" applyBorder="1" applyAlignment="1">
      <alignment horizontal="center"/>
    </xf>
    <xf numFmtId="171" fontId="4" fillId="0" borderId="3" xfId="1" applyNumberFormat="1" applyFont="1" applyFill="1" applyBorder="1" applyAlignment="1">
      <alignment horizontal="center"/>
    </xf>
    <xf numFmtId="0" fontId="2" fillId="0" borderId="0" xfId="0" applyFont="1"/>
    <xf numFmtId="0" fontId="12" fillId="0" borderId="0" xfId="0" applyFont="1" applyAlignment="1"/>
    <xf numFmtId="0" fontId="13" fillId="14" borderId="1" xfId="0" applyFont="1" applyFill="1" applyBorder="1"/>
    <xf numFmtId="0" fontId="13" fillId="15" borderId="1" xfId="0" applyFont="1" applyFill="1" applyBorder="1"/>
    <xf numFmtId="0" fontId="13" fillId="14" borderId="43" xfId="0" applyFont="1" applyFill="1" applyBorder="1"/>
    <xf numFmtId="0" fontId="2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1" xfId="0" applyFont="1" applyFill="1" applyBorder="1"/>
    <xf numFmtId="1" fontId="6" fillId="2" borderId="1" xfId="0" applyNumberFormat="1" applyFont="1" applyFill="1" applyBorder="1"/>
    <xf numFmtId="0" fontId="2" fillId="16" borderId="0" xfId="0" applyFont="1" applyFill="1"/>
    <xf numFmtId="0" fontId="2" fillId="17" borderId="0" xfId="0" applyFont="1" applyFill="1"/>
    <xf numFmtId="0" fontId="2" fillId="2" borderId="44" xfId="0" applyFont="1" applyFill="1" applyBorder="1" applyAlignment="1">
      <alignment horizontal="center"/>
    </xf>
    <xf numFmtId="173" fontId="15" fillId="2" borderId="0" xfId="0" applyNumberFormat="1" applyFont="1" applyFill="1" applyBorder="1"/>
    <xf numFmtId="3" fontId="15" fillId="2" borderId="0" xfId="0" applyNumberFormat="1" applyFont="1" applyFill="1" applyBorder="1"/>
    <xf numFmtId="1" fontId="6" fillId="2" borderId="0" xfId="0" applyNumberFormat="1" applyFont="1" applyFill="1" applyBorder="1"/>
    <xf numFmtId="3" fontId="6" fillId="2" borderId="0" xfId="0" applyNumberFormat="1" applyFont="1" applyFill="1" applyBorder="1"/>
    <xf numFmtId="0" fontId="2" fillId="18" borderId="0" xfId="0" applyFont="1" applyFill="1"/>
    <xf numFmtId="174" fontId="16" fillId="19" borderId="1" xfId="0" applyNumberFormat="1" applyFont="1" applyFill="1" applyBorder="1" applyAlignment="1">
      <alignment horizontal="center"/>
    </xf>
    <xf numFmtId="175" fontId="16" fillId="19" borderId="1" xfId="0" applyNumberFormat="1" applyFont="1" applyFill="1" applyBorder="1" applyAlignment="1">
      <alignment horizontal="center"/>
    </xf>
    <xf numFmtId="0" fontId="17" fillId="19" borderId="1" xfId="0" applyFont="1" applyFill="1" applyBorder="1" applyAlignment="1">
      <alignment horizontal="center"/>
    </xf>
    <xf numFmtId="0" fontId="2" fillId="20" borderId="0" xfId="0" applyFont="1" applyFill="1"/>
    <xf numFmtId="0" fontId="15" fillId="21" borderId="1" xfId="0" applyFont="1" applyFill="1" applyBorder="1" applyAlignment="1">
      <alignment horizontal="left"/>
    </xf>
    <xf numFmtId="176" fontId="18" fillId="0" borderId="1" xfId="0" applyNumberFormat="1" applyFont="1" applyBorder="1"/>
    <xf numFmtId="177" fontId="1" fillId="0" borderId="1" xfId="4" applyNumberFormat="1" applyFont="1" applyBorder="1" applyAlignment="1">
      <alignment horizontal="center"/>
    </xf>
    <xf numFmtId="167" fontId="2" fillId="0" borderId="1" xfId="0" applyNumberFormat="1" applyFont="1" applyBorder="1"/>
    <xf numFmtId="0" fontId="2" fillId="22" borderId="0" xfId="0" applyFont="1" applyFill="1"/>
    <xf numFmtId="0" fontId="2" fillId="5" borderId="0" xfId="0" applyFont="1" applyFill="1"/>
    <xf numFmtId="0" fontId="15" fillId="23" borderId="1" xfId="0" applyFont="1" applyFill="1" applyBorder="1" applyAlignment="1">
      <alignment horizontal="left"/>
    </xf>
    <xf numFmtId="0" fontId="15" fillId="17" borderId="1" xfId="0" applyFont="1" applyFill="1" applyBorder="1" applyAlignment="1">
      <alignment horizontal="left"/>
    </xf>
    <xf numFmtId="0" fontId="15" fillId="24" borderId="1" xfId="0" applyFont="1" applyFill="1" applyBorder="1" applyAlignment="1">
      <alignment horizontal="left"/>
    </xf>
    <xf numFmtId="0" fontId="2" fillId="0" borderId="0" xfId="0" applyFont="1" applyFill="1"/>
    <xf numFmtId="0" fontId="15" fillId="0" borderId="0" xfId="0" applyFont="1"/>
    <xf numFmtId="167" fontId="2" fillId="0" borderId="43" xfId="0" applyNumberFormat="1" applyFont="1" applyBorder="1"/>
    <xf numFmtId="167" fontId="15" fillId="0" borderId="43" xfId="0" applyNumberFormat="1" applyFont="1" applyBorder="1"/>
    <xf numFmtId="167" fontId="6" fillId="0" borderId="1" xfId="0" applyNumberFormat="1" applyFont="1" applyFill="1" applyBorder="1"/>
    <xf numFmtId="1" fontId="2" fillId="0" borderId="0" xfId="0" applyNumberFormat="1" applyFont="1"/>
    <xf numFmtId="1" fontId="2" fillId="0" borderId="30" xfId="0" applyNumberFormat="1" applyFont="1" applyBorder="1"/>
    <xf numFmtId="0" fontId="2" fillId="0" borderId="14" xfId="0" applyFont="1" applyBorder="1"/>
    <xf numFmtId="1" fontId="2" fillId="2" borderId="14" xfId="0" applyNumberFormat="1" applyFont="1" applyFill="1" applyBorder="1"/>
    <xf numFmtId="0" fontId="2" fillId="2" borderId="14" xfId="0" applyFont="1" applyFill="1" applyBorder="1"/>
    <xf numFmtId="0" fontId="2" fillId="25" borderId="2" xfId="0" applyFont="1" applyFill="1" applyBorder="1"/>
    <xf numFmtId="14" fontId="2" fillId="0" borderId="14" xfId="0" applyNumberFormat="1" applyFont="1" applyBorder="1"/>
    <xf numFmtId="0" fontId="2" fillId="26" borderId="14" xfId="0" applyFont="1" applyFill="1" applyBorder="1"/>
    <xf numFmtId="2" fontId="2" fillId="0" borderId="3" xfId="0" applyNumberFormat="1" applyFont="1" applyBorder="1"/>
    <xf numFmtId="0" fontId="2" fillId="23" borderId="14" xfId="0" applyFont="1" applyFill="1" applyBorder="1"/>
    <xf numFmtId="0" fontId="2" fillId="0" borderId="3" xfId="0" applyFont="1" applyBorder="1"/>
    <xf numFmtId="0" fontId="2" fillId="0" borderId="0" xfId="0" applyFont="1" applyFill="1" applyBorder="1"/>
    <xf numFmtId="0" fontId="19" fillId="2" borderId="0" xfId="0" applyFont="1" applyFill="1"/>
    <xf numFmtId="0" fontId="20" fillId="10" borderId="1" xfId="0" applyFont="1" applyFill="1" applyBorder="1"/>
    <xf numFmtId="0" fontId="20" fillId="2" borderId="14" xfId="0" applyFont="1" applyFill="1" applyBorder="1"/>
    <xf numFmtId="0" fontId="20" fillId="2" borderId="0" xfId="0" applyFont="1" applyFill="1" applyBorder="1"/>
    <xf numFmtId="0" fontId="21" fillId="4" borderId="0" xfId="0" applyFont="1" applyFill="1" applyBorder="1"/>
    <xf numFmtId="166" fontId="21" fillId="0" borderId="0" xfId="1" applyNumberFormat="1" applyFont="1" applyFill="1" applyBorder="1" applyAlignment="1">
      <alignment horizontal="center"/>
    </xf>
    <xf numFmtId="0" fontId="19" fillId="2" borderId="1" xfId="0" applyFont="1" applyFill="1" applyBorder="1"/>
    <xf numFmtId="168" fontId="19" fillId="2" borderId="0" xfId="0" applyNumberFormat="1" applyFont="1" applyFill="1"/>
    <xf numFmtId="0" fontId="20" fillId="2" borderId="18" xfId="0" applyFont="1" applyFill="1" applyBorder="1"/>
    <xf numFmtId="168" fontId="20" fillId="2" borderId="22" xfId="0" applyNumberFormat="1" applyFont="1" applyFill="1" applyBorder="1"/>
    <xf numFmtId="0" fontId="19" fillId="0" borderId="18" xfId="0" applyFont="1" applyFill="1" applyBorder="1"/>
    <xf numFmtId="168" fontId="19" fillId="0" borderId="27" xfId="0" applyNumberFormat="1" applyFont="1" applyFill="1" applyBorder="1" applyAlignment="1">
      <alignment horizontal="right"/>
    </xf>
    <xf numFmtId="44" fontId="19" fillId="2" borderId="0" xfId="0" applyNumberFormat="1" applyFont="1" applyFill="1"/>
    <xf numFmtId="0" fontId="20" fillId="2" borderId="19" xfId="0" applyFont="1" applyFill="1" applyBorder="1"/>
    <xf numFmtId="168" fontId="20" fillId="2" borderId="40" xfId="0" applyNumberFormat="1" applyFont="1" applyFill="1" applyBorder="1"/>
    <xf numFmtId="0" fontId="19" fillId="0" borderId="19" xfId="0" applyFont="1" applyFill="1" applyBorder="1"/>
    <xf numFmtId="168" fontId="19" fillId="0" borderId="40" xfId="0" applyNumberFormat="1" applyFont="1" applyFill="1" applyBorder="1"/>
    <xf numFmtId="0" fontId="19" fillId="2" borderId="0" xfId="0" applyFont="1" applyFill="1" applyBorder="1"/>
    <xf numFmtId="0" fontId="20" fillId="0" borderId="19" xfId="0" applyFont="1" applyFill="1" applyBorder="1"/>
    <xf numFmtId="168" fontId="20" fillId="0" borderId="40" xfId="0" applyNumberFormat="1" applyFont="1" applyFill="1" applyBorder="1"/>
    <xf numFmtId="1" fontId="19" fillId="2" borderId="1" xfId="0" applyNumberFormat="1" applyFont="1" applyFill="1" applyBorder="1"/>
    <xf numFmtId="0" fontId="21" fillId="3" borderId="14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19" xfId="0" applyFont="1" applyFill="1" applyBorder="1"/>
    <xf numFmtId="0" fontId="19" fillId="2" borderId="5" xfId="0" applyFont="1" applyFill="1" applyBorder="1"/>
    <xf numFmtId="167" fontId="19" fillId="2" borderId="0" xfId="0" applyNumberFormat="1" applyFont="1" applyFill="1"/>
    <xf numFmtId="0" fontId="23" fillId="4" borderId="30" xfId="0" applyFont="1" applyFill="1" applyBorder="1" applyAlignment="1">
      <alignment horizontal="center" wrapText="1"/>
    </xf>
    <xf numFmtId="0" fontId="19" fillId="0" borderId="3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170" fontId="23" fillId="4" borderId="32" xfId="0" applyNumberFormat="1" applyFont="1" applyFill="1" applyBorder="1" applyAlignment="1">
      <alignment horizontal="center"/>
    </xf>
    <xf numFmtId="171" fontId="23" fillId="4" borderId="5" xfId="1" applyNumberFormat="1" applyFont="1" applyFill="1" applyBorder="1" applyAlignment="1">
      <alignment horizontal="center"/>
    </xf>
    <xf numFmtId="0" fontId="19" fillId="0" borderId="20" xfId="0" applyFont="1" applyFill="1" applyBorder="1"/>
    <xf numFmtId="0" fontId="23" fillId="4" borderId="6" xfId="0" applyFont="1" applyFill="1" applyBorder="1" applyAlignment="1">
      <alignment horizontal="center"/>
    </xf>
    <xf numFmtId="0" fontId="23" fillId="4" borderId="7" xfId="0" applyFont="1" applyFill="1" applyBorder="1" applyAlignment="1">
      <alignment horizontal="center"/>
    </xf>
    <xf numFmtId="171" fontId="23" fillId="4" borderId="7" xfId="0" applyNumberFormat="1" applyFont="1" applyFill="1" applyBorder="1" applyAlignment="1">
      <alignment horizontal="center"/>
    </xf>
    <xf numFmtId="171" fontId="23" fillId="4" borderId="7" xfId="1" applyNumberFormat="1" applyFont="1" applyFill="1" applyBorder="1" applyAlignment="1">
      <alignment horizontal="center"/>
    </xf>
    <xf numFmtId="0" fontId="23" fillId="4" borderId="0" xfId="0" applyFont="1" applyFill="1"/>
    <xf numFmtId="171" fontId="21" fillId="4" borderId="4" xfId="0" applyNumberFormat="1" applyFont="1" applyFill="1" applyBorder="1"/>
    <xf numFmtId="171" fontId="23" fillId="4" borderId="31" xfId="1" applyNumberFormat="1" applyFont="1" applyFill="1" applyBorder="1" applyAlignment="1">
      <alignment horizontal="center"/>
    </xf>
    <xf numFmtId="171" fontId="23" fillId="4" borderId="39" xfId="1" applyNumberFormat="1" applyFont="1" applyFill="1" applyBorder="1" applyAlignment="1">
      <alignment horizontal="center"/>
    </xf>
    <xf numFmtId="0" fontId="19" fillId="27" borderId="18" xfId="0" applyFont="1" applyFill="1" applyBorder="1"/>
    <xf numFmtId="0" fontId="19" fillId="0" borderId="0" xfId="0" applyFont="1" applyFill="1" applyBorder="1"/>
    <xf numFmtId="0" fontId="20" fillId="11" borderId="1" xfId="0" applyFont="1" applyFill="1" applyBorder="1"/>
    <xf numFmtId="0" fontId="21" fillId="4" borderId="0" xfId="0" applyFont="1" applyFill="1"/>
    <xf numFmtId="171" fontId="21" fillId="4" borderId="2" xfId="0" applyNumberFormat="1" applyFont="1" applyFill="1" applyBorder="1"/>
    <xf numFmtId="171" fontId="21" fillId="3" borderId="14" xfId="1" applyNumberFormat="1" applyFont="1" applyFill="1" applyBorder="1" applyAlignment="1">
      <alignment horizontal="center"/>
    </xf>
    <xf numFmtId="0" fontId="19" fillId="27" borderId="19" xfId="0" applyFont="1" applyFill="1" applyBorder="1"/>
    <xf numFmtId="166" fontId="19" fillId="0" borderId="18" xfId="1" applyFont="1" applyFill="1" applyBorder="1" applyAlignment="1">
      <alignment horizontal="center"/>
    </xf>
    <xf numFmtId="0" fontId="20" fillId="2" borderId="1" xfId="0" applyFont="1" applyFill="1" applyBorder="1"/>
    <xf numFmtId="0" fontId="19" fillId="27" borderId="20" xfId="0" applyFont="1" applyFill="1" applyBorder="1" applyAlignment="1">
      <alignment horizontal="right"/>
    </xf>
    <xf numFmtId="0" fontId="19" fillId="0" borderId="19" xfId="0" applyFont="1" applyBorder="1"/>
    <xf numFmtId="166" fontId="19" fillId="0" borderId="19" xfId="1" applyFont="1" applyFill="1" applyBorder="1" applyAlignment="1">
      <alignment horizontal="center"/>
    </xf>
    <xf numFmtId="0" fontId="19" fillId="18" borderId="18" xfId="0" applyFont="1" applyFill="1" applyBorder="1"/>
    <xf numFmtId="0" fontId="19" fillId="18" borderId="19" xfId="0" applyFont="1" applyFill="1" applyBorder="1"/>
    <xf numFmtId="165" fontId="19" fillId="0" borderId="0" xfId="5" applyNumberFormat="1" applyFont="1" applyFill="1" applyBorder="1"/>
    <xf numFmtId="0" fontId="19" fillId="2" borderId="0" xfId="0" applyFont="1" applyFill="1" applyBorder="1" applyAlignment="1">
      <alignment horizontal="right"/>
    </xf>
    <xf numFmtId="168" fontId="20" fillId="8" borderId="14" xfId="0" applyNumberFormat="1" applyFont="1" applyFill="1" applyBorder="1"/>
    <xf numFmtId="0" fontId="23" fillId="4" borderId="4" xfId="0" applyFont="1" applyFill="1" applyBorder="1" applyAlignment="1">
      <alignment horizontal="center" wrapText="1"/>
    </xf>
    <xf numFmtId="4" fontId="23" fillId="4" borderId="30" xfId="0" applyNumberFormat="1" applyFont="1" applyFill="1" applyBorder="1" applyAlignment="1">
      <alignment horizontal="center"/>
    </xf>
    <xf numFmtId="3" fontId="23" fillId="4" borderId="32" xfId="0" applyNumberFormat="1" applyFont="1" applyFill="1" applyBorder="1" applyAlignment="1">
      <alignment horizontal="center"/>
    </xf>
    <xf numFmtId="172" fontId="23" fillId="0" borderId="32" xfId="0" applyNumberFormat="1" applyFont="1" applyBorder="1"/>
    <xf numFmtId="0" fontId="19" fillId="18" borderId="20" xfId="0" applyFont="1" applyFill="1" applyBorder="1" applyAlignment="1">
      <alignment horizontal="right"/>
    </xf>
    <xf numFmtId="171" fontId="23" fillId="4" borderId="15" xfId="1" applyNumberFormat="1" applyFont="1" applyFill="1" applyBorder="1" applyAlignment="1">
      <alignment horizontal="center"/>
    </xf>
    <xf numFmtId="0" fontId="19" fillId="20" borderId="18" xfId="0" applyFont="1" applyFill="1" applyBorder="1"/>
    <xf numFmtId="0" fontId="24" fillId="10" borderId="1" xfId="0" applyFont="1" applyFill="1" applyBorder="1"/>
    <xf numFmtId="0" fontId="19" fillId="20" borderId="19" xfId="0" applyFont="1" applyFill="1" applyBorder="1"/>
    <xf numFmtId="0" fontId="19" fillId="2" borderId="18" xfId="0" applyFont="1" applyFill="1" applyBorder="1"/>
    <xf numFmtId="9" fontId="19" fillId="2" borderId="22" xfId="0" applyNumberFormat="1" applyFont="1" applyFill="1" applyBorder="1"/>
    <xf numFmtId="0" fontId="19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9" fillId="20" borderId="20" xfId="0" applyFont="1" applyFill="1" applyBorder="1" applyAlignment="1">
      <alignment horizontal="right"/>
    </xf>
    <xf numFmtId="0" fontId="19" fillId="5" borderId="20" xfId="0" applyFont="1" applyFill="1" applyBorder="1"/>
    <xf numFmtId="2" fontId="19" fillId="5" borderId="28" xfId="0" applyNumberFormat="1" applyFont="1" applyFill="1" applyBorder="1"/>
    <xf numFmtId="0" fontId="19" fillId="0" borderId="20" xfId="0" applyFont="1" applyBorder="1"/>
    <xf numFmtId="166" fontId="19" fillId="0" borderId="20" xfId="1" applyFont="1" applyFill="1" applyBorder="1" applyAlignment="1">
      <alignment horizontal="center"/>
    </xf>
    <xf numFmtId="0" fontId="19" fillId="17" borderId="18" xfId="0" applyFont="1" applyFill="1" applyBorder="1"/>
    <xf numFmtId="0" fontId="23" fillId="2" borderId="0" xfId="0" applyFont="1" applyFill="1" applyBorder="1"/>
    <xf numFmtId="171" fontId="21" fillId="2" borderId="0" xfId="0" applyNumberFormat="1" applyFont="1" applyFill="1" applyBorder="1"/>
    <xf numFmtId="171" fontId="23" fillId="2" borderId="0" xfId="1" applyNumberFormat="1" applyFont="1" applyFill="1" applyBorder="1" applyAlignment="1">
      <alignment horizontal="center"/>
    </xf>
    <xf numFmtId="0" fontId="19" fillId="17" borderId="19" xfId="0" applyFont="1" applyFill="1" applyBorder="1"/>
    <xf numFmtId="0" fontId="19" fillId="17" borderId="20" xfId="0" applyFont="1" applyFill="1" applyBorder="1" applyAlignment="1">
      <alignment horizontal="right"/>
    </xf>
    <xf numFmtId="0" fontId="25" fillId="5" borderId="14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 vertical="center"/>
    </xf>
    <xf numFmtId="3" fontId="25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171" fontId="25" fillId="5" borderId="1" xfId="1" applyNumberFormat="1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wrapText="1"/>
    </xf>
    <xf numFmtId="3" fontId="20" fillId="5" borderId="12" xfId="0" applyNumberFormat="1" applyFont="1" applyFill="1" applyBorder="1"/>
    <xf numFmtId="168" fontId="19" fillId="8" borderId="14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171" fontId="23" fillId="0" borderId="1" xfId="1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8" fontId="19" fillId="0" borderId="18" xfId="4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right"/>
    </xf>
    <xf numFmtId="44" fontId="19" fillId="0" borderId="19" xfId="0" applyNumberFormat="1" applyFont="1" applyFill="1" applyBorder="1" applyAlignment="1">
      <alignment horizontal="center"/>
    </xf>
    <xf numFmtId="9" fontId="20" fillId="5" borderId="12" xfId="0" applyNumberFormat="1" applyFont="1" applyFill="1" applyBorder="1"/>
    <xf numFmtId="0" fontId="19" fillId="0" borderId="20" xfId="0" applyFont="1" applyFill="1" applyBorder="1" applyAlignment="1">
      <alignment horizontal="center"/>
    </xf>
    <xf numFmtId="168" fontId="19" fillId="2" borderId="18" xfId="0" applyNumberFormat="1" applyFont="1" applyFill="1" applyBorder="1"/>
    <xf numFmtId="0" fontId="19" fillId="2" borderId="17" xfId="0" applyFont="1" applyFill="1" applyBorder="1"/>
    <xf numFmtId="168" fontId="19" fillId="2" borderId="41" xfId="0" applyNumberFormat="1" applyFont="1" applyFill="1" applyBorder="1"/>
    <xf numFmtId="0" fontId="23" fillId="0" borderId="0" xfId="0" applyFont="1" applyFill="1" applyBorder="1" applyAlignment="1">
      <alignment horizontal="center"/>
    </xf>
    <xf numFmtId="1" fontId="20" fillId="12" borderId="1" xfId="0" applyNumberFormat="1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left"/>
    </xf>
    <xf numFmtId="0" fontId="20" fillId="0" borderId="1" xfId="0" applyFont="1" applyFill="1" applyBorder="1"/>
    <xf numFmtId="0" fontId="19" fillId="5" borderId="1" xfId="0" applyFont="1" applyFill="1" applyBorder="1" applyAlignment="1">
      <alignment horizontal="left"/>
    </xf>
    <xf numFmtId="9" fontId="19" fillId="2" borderId="0" xfId="5" applyFont="1" applyFill="1"/>
    <xf numFmtId="168" fontId="19" fillId="2" borderId="20" xfId="0" applyNumberFormat="1" applyFont="1" applyFill="1" applyBorder="1"/>
    <xf numFmtId="0" fontId="20" fillId="5" borderId="1" xfId="0" applyFont="1" applyFill="1" applyBorder="1" applyAlignment="1">
      <alignment horizontal="center" vertical="center"/>
    </xf>
    <xf numFmtId="0" fontId="22" fillId="0" borderId="1" xfId="0" applyFont="1" applyFill="1" applyBorder="1"/>
    <xf numFmtId="2" fontId="22" fillId="2" borderId="1" xfId="0" applyNumberFormat="1" applyFont="1" applyFill="1" applyBorder="1" applyAlignment="1">
      <alignment horizontal="left"/>
    </xf>
    <xf numFmtId="0" fontId="19" fillId="5" borderId="2" xfId="0" applyFont="1" applyFill="1" applyBorder="1"/>
    <xf numFmtId="169" fontId="19" fillId="5" borderId="14" xfId="0" applyNumberFormat="1" applyFont="1" applyFill="1" applyBorder="1"/>
    <xf numFmtId="0" fontId="19" fillId="2" borderId="24" xfId="0" applyFont="1" applyFill="1" applyBorder="1"/>
    <xf numFmtId="0" fontId="19" fillId="2" borderId="26" xfId="0" applyFont="1" applyFill="1" applyBorder="1"/>
    <xf numFmtId="9" fontId="19" fillId="2" borderId="24" xfId="0" applyNumberFormat="1" applyFont="1" applyFill="1" applyBorder="1"/>
    <xf numFmtId="0" fontId="26" fillId="13" borderId="14" xfId="0" applyFont="1" applyFill="1" applyBorder="1" applyAlignment="1">
      <alignment horizontal="center" vertical="center"/>
    </xf>
    <xf numFmtId="0" fontId="27" fillId="0" borderId="31" xfId="0" applyFont="1" applyBorder="1" applyAlignment="1">
      <alignment vertical="center"/>
    </xf>
    <xf numFmtId="2" fontId="19" fillId="2" borderId="24" xfId="0" applyNumberFormat="1" applyFont="1" applyFill="1" applyBorder="1"/>
    <xf numFmtId="0" fontId="27" fillId="0" borderId="39" xfId="0" applyFont="1" applyBorder="1" applyAlignment="1">
      <alignment vertical="center"/>
    </xf>
    <xf numFmtId="9" fontId="19" fillId="2" borderId="26" xfId="0" applyNumberFormat="1" applyFont="1" applyFill="1" applyBorder="1" applyAlignment="1">
      <alignment horizontal="left"/>
    </xf>
    <xf numFmtId="1" fontId="19" fillId="2" borderId="24" xfId="0" applyNumberFormat="1" applyFont="1" applyFill="1" applyBorder="1"/>
    <xf numFmtId="0" fontId="22" fillId="12" borderId="1" xfId="0" applyFont="1" applyFill="1" applyBorder="1"/>
    <xf numFmtId="2" fontId="22" fillId="12" borderId="24" xfId="0" applyNumberFormat="1" applyFont="1" applyFill="1" applyBorder="1"/>
    <xf numFmtId="0" fontId="22" fillId="12" borderId="26" xfId="0" applyFont="1" applyFill="1" applyBorder="1"/>
    <xf numFmtId="0" fontId="27" fillId="0" borderId="15" xfId="0" applyFont="1" applyBorder="1" applyAlignment="1">
      <alignment vertical="center"/>
    </xf>
    <xf numFmtId="0" fontId="19" fillId="2" borderId="14" xfId="0" applyFont="1" applyFill="1" applyBorder="1" applyAlignment="1">
      <alignment horizontal="center"/>
    </xf>
    <xf numFmtId="0" fontId="19" fillId="2" borderId="14" xfId="0" applyFont="1" applyFill="1" applyBorder="1"/>
    <xf numFmtId="44" fontId="19" fillId="2" borderId="14" xfId="0" applyNumberFormat="1" applyFont="1" applyFill="1" applyBorder="1"/>
    <xf numFmtId="0" fontId="19" fillId="2" borderId="39" xfId="0" applyFont="1" applyFill="1" applyBorder="1" applyAlignment="1">
      <alignment horizontal="center" vertical="center"/>
    </xf>
    <xf numFmtId="0" fontId="19" fillId="2" borderId="31" xfId="0" applyFont="1" applyFill="1" applyBorder="1"/>
    <xf numFmtId="0" fontId="19" fillId="2" borderId="31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0" fontId="19" fillId="2" borderId="39" xfId="0" applyFont="1" applyFill="1" applyBorder="1"/>
    <xf numFmtId="44" fontId="19" fillId="2" borderId="39" xfId="0" applyNumberFormat="1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2" borderId="15" xfId="0" applyFont="1" applyFill="1" applyBorder="1"/>
    <xf numFmtId="44" fontId="19" fillId="2" borderId="15" xfId="0" applyNumberFormat="1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1" fontId="19" fillId="2" borderId="14" xfId="0" applyNumberFormat="1" applyFont="1" applyFill="1" applyBorder="1"/>
    <xf numFmtId="0" fontId="22" fillId="12" borderId="14" xfId="0" applyFont="1" applyFill="1" applyBorder="1" applyAlignment="1">
      <alignment horizontal="center" vertical="center"/>
    </xf>
    <xf numFmtId="178" fontId="19" fillId="2" borderId="14" xfId="5" applyNumberFormat="1" applyFont="1" applyFill="1" applyBorder="1"/>
    <xf numFmtId="44" fontId="3" fillId="2" borderId="1" xfId="7" applyFont="1" applyFill="1" applyBorder="1"/>
    <xf numFmtId="0" fontId="21" fillId="3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3" fillId="2" borderId="18" xfId="0" applyFont="1" applyFill="1" applyBorder="1"/>
    <xf numFmtId="0" fontId="3" fillId="2" borderId="22" xfId="0" applyFont="1" applyFill="1" applyBorder="1" applyAlignment="1">
      <alignment horizontal="center" vertical="center"/>
    </xf>
    <xf numFmtId="168" fontId="3" fillId="2" borderId="22" xfId="0" applyNumberFormat="1" applyFont="1" applyFill="1" applyBorder="1"/>
    <xf numFmtId="0" fontId="3" fillId="2" borderId="31" xfId="0" applyFont="1" applyFill="1" applyBorder="1"/>
    <xf numFmtId="0" fontId="3" fillId="2" borderId="32" xfId="0" applyFont="1" applyFill="1" applyBorder="1" applyAlignment="1">
      <alignment horizontal="center" vertical="center"/>
    </xf>
    <xf numFmtId="168" fontId="3" fillId="2" borderId="32" xfId="0" applyNumberFormat="1" applyFont="1" applyFill="1" applyBorder="1"/>
    <xf numFmtId="0" fontId="3" fillId="2" borderId="14" xfId="0" applyFont="1" applyFill="1" applyBorder="1"/>
    <xf numFmtId="10" fontId="3" fillId="2" borderId="3" xfId="5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/>
    <xf numFmtId="179" fontId="3" fillId="2" borderId="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  <xf numFmtId="168" fontId="3" fillId="9" borderId="28" xfId="0" applyNumberFormat="1" applyFont="1" applyFill="1" applyBorder="1"/>
    <xf numFmtId="0" fontId="3" fillId="2" borderId="1" xfId="0" applyFont="1" applyFill="1" applyBorder="1"/>
    <xf numFmtId="179" fontId="3" fillId="2" borderId="1" xfId="0" applyNumberFormat="1" applyFont="1" applyFill="1" applyBorder="1"/>
    <xf numFmtId="0" fontId="20" fillId="5" borderId="1" xfId="0" applyFont="1" applyFill="1" applyBorder="1"/>
    <xf numFmtId="168" fontId="20" fillId="5" borderId="1" xfId="0" applyNumberFormat="1" applyFont="1" applyFill="1" applyBorder="1"/>
    <xf numFmtId="0" fontId="20" fillId="12" borderId="0" xfId="0" applyFont="1" applyFill="1"/>
    <xf numFmtId="44" fontId="20" fillId="12" borderId="0" xfId="0" applyNumberFormat="1" applyFont="1" applyFill="1"/>
    <xf numFmtId="44" fontId="3" fillId="2" borderId="1" xfId="0" applyNumberFormat="1" applyFont="1" applyFill="1" applyBorder="1"/>
    <xf numFmtId="9" fontId="19" fillId="2" borderId="0" xfId="0" applyNumberFormat="1" applyFont="1" applyFill="1" applyAlignment="1">
      <alignment horizontal="left"/>
    </xf>
    <xf numFmtId="44" fontId="19" fillId="2" borderId="0" xfId="0" applyNumberFormat="1" applyFont="1" applyFill="1" applyBorder="1" applyAlignment="1">
      <alignment horizontal="center" vertical="center"/>
    </xf>
    <xf numFmtId="44" fontId="19" fillId="2" borderId="0" xfId="0" applyNumberFormat="1" applyFont="1" applyFill="1" applyBorder="1"/>
    <xf numFmtId="1" fontId="19" fillId="2" borderId="0" xfId="0" applyNumberFormat="1" applyFont="1" applyFill="1" applyBorder="1"/>
    <xf numFmtId="178" fontId="19" fillId="2" borderId="0" xfId="5" applyNumberFormat="1" applyFont="1" applyFill="1" applyBorder="1"/>
    <xf numFmtId="0" fontId="26" fillId="0" borderId="0" xfId="0" applyFont="1" applyFill="1" applyBorder="1" applyAlignment="1">
      <alignment horizontal="center" vertical="center"/>
    </xf>
    <xf numFmtId="44" fontId="19" fillId="0" borderId="0" xfId="0" applyNumberFormat="1" applyFont="1" applyFill="1" applyBorder="1" applyAlignment="1">
      <alignment horizontal="center" vertical="center"/>
    </xf>
    <xf numFmtId="44" fontId="19" fillId="0" borderId="0" xfId="0" applyNumberFormat="1" applyFont="1" applyFill="1" applyBorder="1"/>
    <xf numFmtId="0" fontId="19" fillId="0" borderId="0" xfId="0" applyFont="1" applyFill="1"/>
    <xf numFmtId="0" fontId="22" fillId="0" borderId="0" xfId="0" applyFont="1" applyFill="1" applyBorder="1" applyAlignment="1">
      <alignment horizontal="center"/>
    </xf>
    <xf numFmtId="44" fontId="3" fillId="2" borderId="24" xfId="0" applyNumberFormat="1" applyFont="1" applyFill="1" applyBorder="1"/>
    <xf numFmtId="179" fontId="3" fillId="2" borderId="24" xfId="0" applyNumberFormat="1" applyFont="1" applyFill="1" applyBorder="1"/>
    <xf numFmtId="9" fontId="20" fillId="5" borderId="1" xfId="0" applyNumberFormat="1" applyFont="1" applyFill="1" applyBorder="1"/>
    <xf numFmtId="0" fontId="3" fillId="2" borderId="21" xfId="0" applyFont="1" applyFill="1" applyBorder="1"/>
    <xf numFmtId="0" fontId="3" fillId="2" borderId="16" xfId="0" applyFont="1" applyFill="1" applyBorder="1"/>
    <xf numFmtId="168" fontId="26" fillId="30" borderId="15" xfId="0" applyNumberFormat="1" applyFont="1" applyFill="1" applyBorder="1" applyAlignment="1">
      <alignment horizontal="center"/>
    </xf>
    <xf numFmtId="0" fontId="26" fillId="30" borderId="20" xfId="0" applyFont="1" applyFill="1" applyBorder="1"/>
    <xf numFmtId="168" fontId="26" fillId="30" borderId="28" xfId="0" applyNumberFormat="1" applyFont="1" applyFill="1" applyBorder="1"/>
    <xf numFmtId="168" fontId="19" fillId="27" borderId="18" xfId="4" applyNumberFormat="1" applyFont="1" applyFill="1" applyBorder="1" applyAlignment="1">
      <alignment horizontal="right"/>
    </xf>
    <xf numFmtId="168" fontId="19" fillId="18" borderId="18" xfId="4" applyNumberFormat="1" applyFont="1" applyFill="1" applyBorder="1" applyAlignment="1">
      <alignment horizontal="right"/>
    </xf>
    <xf numFmtId="0" fontId="19" fillId="18" borderId="19" xfId="0" applyFont="1" applyFill="1" applyBorder="1" applyAlignment="1">
      <alignment horizontal="right"/>
    </xf>
    <xf numFmtId="2" fontId="19" fillId="18" borderId="20" xfId="0" applyNumberFormat="1" applyFont="1" applyFill="1" applyBorder="1" applyAlignment="1">
      <alignment horizontal="right"/>
    </xf>
    <xf numFmtId="168" fontId="19" fillId="20" borderId="18" xfId="4" applyNumberFormat="1" applyFont="1" applyFill="1" applyBorder="1" applyAlignment="1">
      <alignment horizontal="right"/>
    </xf>
    <xf numFmtId="0" fontId="19" fillId="20" borderId="19" xfId="0" applyFont="1" applyFill="1" applyBorder="1" applyAlignment="1">
      <alignment horizontal="right"/>
    </xf>
    <xf numFmtId="168" fontId="19" fillId="17" borderId="18" xfId="4" applyNumberFormat="1" applyFont="1" applyFill="1" applyBorder="1" applyAlignment="1">
      <alignment horizontal="right"/>
    </xf>
    <xf numFmtId="0" fontId="19" fillId="17" borderId="19" xfId="0" applyFont="1" applyFill="1" applyBorder="1" applyAlignment="1">
      <alignment horizontal="right"/>
    </xf>
    <xf numFmtId="168" fontId="26" fillId="30" borderId="15" xfId="0" applyNumberFormat="1" applyFont="1" applyFill="1" applyBorder="1" applyAlignment="1">
      <alignment horizontal="right"/>
    </xf>
    <xf numFmtId="44" fontId="19" fillId="27" borderId="20" xfId="0" applyNumberFormat="1" applyFont="1" applyFill="1" applyBorder="1" applyAlignment="1">
      <alignment horizontal="right"/>
    </xf>
    <xf numFmtId="44" fontId="19" fillId="20" borderId="20" xfId="0" applyNumberFormat="1" applyFont="1" applyFill="1" applyBorder="1" applyAlignment="1">
      <alignment horizontal="right"/>
    </xf>
    <xf numFmtId="44" fontId="19" fillId="17" borderId="20" xfId="0" applyNumberFormat="1" applyFont="1" applyFill="1" applyBorder="1" applyAlignment="1">
      <alignment horizontal="right"/>
    </xf>
    <xf numFmtId="0" fontId="20" fillId="5" borderId="19" xfId="0" applyFont="1" applyFill="1" applyBorder="1" applyAlignment="1">
      <alignment horizontal="right"/>
    </xf>
    <xf numFmtId="0" fontId="22" fillId="0" borderId="0" xfId="0" applyFont="1" applyFill="1" applyBorder="1" applyAlignment="1"/>
    <xf numFmtId="44" fontId="6" fillId="6" borderId="14" xfId="0" applyNumberFormat="1" applyFont="1" applyFill="1" applyBorder="1" applyAlignment="1"/>
    <xf numFmtId="44" fontId="26" fillId="30" borderId="28" xfId="0" applyNumberFormat="1" applyFont="1" applyFill="1" applyBorder="1"/>
    <xf numFmtId="0" fontId="3" fillId="2" borderId="45" xfId="0" applyFont="1" applyFill="1" applyBorder="1"/>
    <xf numFmtId="168" fontId="3" fillId="2" borderId="45" xfId="0" applyNumberFormat="1" applyFont="1" applyFill="1" applyBorder="1"/>
    <xf numFmtId="0" fontId="3" fillId="0" borderId="0" xfId="0" applyFont="1" applyFill="1" applyBorder="1"/>
    <xf numFmtId="44" fontId="3" fillId="0" borderId="0" xfId="0" applyNumberFormat="1" applyFont="1" applyFill="1" applyBorder="1"/>
    <xf numFmtId="0" fontId="20" fillId="29" borderId="0" xfId="0" applyFont="1" applyFill="1" applyBorder="1"/>
    <xf numFmtId="44" fontId="20" fillId="29" borderId="0" xfId="0" applyNumberFormat="1" applyFont="1" applyFill="1" applyBorder="1"/>
    <xf numFmtId="0" fontId="29" fillId="20" borderId="0" xfId="0" applyFont="1" applyFill="1"/>
    <xf numFmtId="44" fontId="29" fillId="20" borderId="0" xfId="0" applyNumberFormat="1" applyFont="1" applyFill="1"/>
    <xf numFmtId="0" fontId="22" fillId="7" borderId="30" xfId="0" applyFont="1" applyFill="1" applyBorder="1" applyAlignment="1">
      <alignment horizontal="center"/>
    </xf>
    <xf numFmtId="0" fontId="22" fillId="7" borderId="34" xfId="0" applyFont="1" applyFill="1" applyBorder="1" applyAlignment="1">
      <alignment horizontal="center"/>
    </xf>
    <xf numFmtId="0" fontId="22" fillId="7" borderId="32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/>
    </xf>
    <xf numFmtId="0" fontId="22" fillId="7" borderId="0" xfId="0" applyFont="1" applyFill="1" applyBorder="1" applyAlignment="1">
      <alignment horizontal="center"/>
    </xf>
    <xf numFmtId="0" fontId="22" fillId="7" borderId="5" xfId="0" applyFont="1" applyFill="1" applyBorder="1" applyAlignment="1">
      <alignment horizontal="center"/>
    </xf>
    <xf numFmtId="0" fontId="22" fillId="7" borderId="6" xfId="0" applyFont="1" applyFill="1" applyBorder="1" applyAlignment="1">
      <alignment horizontal="center"/>
    </xf>
    <xf numFmtId="0" fontId="22" fillId="7" borderId="8" xfId="0" applyFont="1" applyFill="1" applyBorder="1" applyAlignment="1">
      <alignment horizontal="center"/>
    </xf>
    <xf numFmtId="0" fontId="22" fillId="7" borderId="7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44" fontId="19" fillId="2" borderId="31" xfId="0" applyNumberFormat="1" applyFont="1" applyFill="1" applyBorder="1" applyAlignment="1">
      <alignment horizontal="center" vertical="center"/>
    </xf>
    <xf numFmtId="44" fontId="19" fillId="2" borderId="39" xfId="0" applyNumberFormat="1" applyFont="1" applyFill="1" applyBorder="1" applyAlignment="1">
      <alignment horizontal="center" vertical="center"/>
    </xf>
    <xf numFmtId="44" fontId="19" fillId="2" borderId="15" xfId="0" applyNumberFormat="1" applyFont="1" applyFill="1" applyBorder="1" applyAlignment="1">
      <alignment horizontal="center" vertical="center"/>
    </xf>
    <xf numFmtId="0" fontId="22" fillId="6" borderId="30" xfId="0" applyFont="1" applyFill="1" applyBorder="1" applyAlignment="1">
      <alignment horizontal="center"/>
    </xf>
    <xf numFmtId="0" fontId="22" fillId="6" borderId="32" xfId="0" applyFont="1" applyFill="1" applyBorder="1" applyAlignment="1">
      <alignment horizontal="center"/>
    </xf>
    <xf numFmtId="0" fontId="6" fillId="6" borderId="30" xfId="0" applyFont="1" applyFill="1" applyBorder="1" applyAlignment="1">
      <alignment horizontal="center"/>
    </xf>
    <xf numFmtId="0" fontId="28" fillId="30" borderId="30" xfId="0" applyFont="1" applyFill="1" applyBorder="1" applyAlignment="1">
      <alignment horizontal="center"/>
    </xf>
    <xf numFmtId="0" fontId="28" fillId="30" borderId="3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/>
    </xf>
    <xf numFmtId="0" fontId="22" fillId="7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6" fillId="6" borderId="34" xfId="0" applyFont="1" applyFill="1" applyBorder="1" applyAlignment="1">
      <alignment horizontal="center"/>
    </xf>
    <xf numFmtId="0" fontId="6" fillId="6" borderId="3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0" fontId="28" fillId="30" borderId="2" xfId="0" applyFont="1" applyFill="1" applyBorder="1" applyAlignment="1">
      <alignment horizontal="center"/>
    </xf>
    <xf numFmtId="0" fontId="28" fillId="30" borderId="3" xfId="0" applyFont="1" applyFill="1" applyBorder="1" applyAlignment="1">
      <alignment horizontal="center"/>
    </xf>
    <xf numFmtId="0" fontId="21" fillId="3" borderId="30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/>
    </xf>
    <xf numFmtId="0" fontId="26" fillId="30" borderId="1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6" fillId="28" borderId="2" xfId="0" applyFont="1" applyFill="1" applyBorder="1" applyAlignment="1">
      <alignment horizontal="center"/>
    </xf>
    <xf numFmtId="0" fontId="26" fillId="28" borderId="3" xfId="0" applyFont="1" applyFill="1" applyBorder="1" applyAlignment="1">
      <alignment horizontal="center"/>
    </xf>
    <xf numFmtId="0" fontId="9" fillId="11" borderId="24" xfId="0" applyFont="1" applyFill="1" applyBorder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1" borderId="26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11" fillId="14" borderId="42" xfId="0" applyFont="1" applyFill="1" applyBorder="1" applyAlignment="1">
      <alignment horizontal="center"/>
    </xf>
    <xf numFmtId="0" fontId="11" fillId="14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14" borderId="1" xfId="0" applyFont="1" applyFill="1" applyBorder="1" applyAlignment="1">
      <alignment horizontal="center"/>
    </xf>
    <xf numFmtId="0" fontId="11" fillId="14" borderId="1" xfId="0" applyFont="1" applyFill="1" applyBorder="1" applyAlignment="1">
      <alignment horizontal="center"/>
    </xf>
  </cellXfs>
  <cellStyles count="8">
    <cellStyle name="Currency 2" xfId="2"/>
    <cellStyle name="Millares" xfId="4" builtinId="3"/>
    <cellStyle name="Millares 2" xfId="6"/>
    <cellStyle name="Moneda" xfId="1" builtinId="4"/>
    <cellStyle name="Moneda 2" xfId="3"/>
    <cellStyle name="Monétaire 2" xfId="7"/>
    <cellStyle name="Normal" xfId="0" builtinId="0"/>
    <cellStyle name="Porcentaje" xfId="5" builtinId="5"/>
  </cellStyles>
  <dxfs count="3"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http://www.datasolutions.com.ec/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A0F3D4C4-CBCA-4C75-8926-9B281A715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1419" y="6420972"/>
          <a:ext cx="2782260" cy="2084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C30EB6BE-7868-4177-AF30-3486CDF6A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178743</xdr:colOff>
      <xdr:row>36</xdr:row>
      <xdr:rowOff>123266</xdr:rowOff>
    </xdr:from>
    <xdr:to>
      <xdr:col>5</xdr:col>
      <xdr:colOff>1224091</xdr:colOff>
      <xdr:row>48</xdr:row>
      <xdr:rowOff>78977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2851FC10-1217-4633-B4D1-1CC2B3A14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9443" y="6524066"/>
          <a:ext cx="2874148" cy="20829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</xdr:row>
      <xdr:rowOff>19050</xdr:rowOff>
    </xdr:from>
    <xdr:to>
      <xdr:col>2</xdr:col>
      <xdr:colOff>519489</xdr:colOff>
      <xdr:row>4</xdr:row>
      <xdr:rowOff>109815</xdr:rowOff>
    </xdr:to>
    <xdr:pic>
      <xdr:nvPicPr>
        <xdr:cNvPr id="2" name="1 Imagen" descr="Datasolutions LOGO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E2F416F6-85A4-4E2F-9503-882547D90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9550"/>
          <a:ext cx="1405314" cy="757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>
              <a:extLst>
                <a:ext uri="{FF2B5EF4-FFF2-40B4-BE49-F238E27FC236}">
                  <a16:creationId xmlns=""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1]Hoja1!$A$1:$J$37" spid="_x0000_s106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4"/>
  <sheetViews>
    <sheetView showGridLines="0" zoomScale="70" zoomScaleNormal="70" workbookViewId="0">
      <selection activeCell="B13" sqref="B13:F19"/>
    </sheetView>
  </sheetViews>
  <sheetFormatPr baseColWidth="10" defaultColWidth="8.7109375" defaultRowHeight="12.75" x14ac:dyDescent="0.2"/>
  <cols>
    <col min="1" max="1" width="7.85546875" style="130" customWidth="1"/>
    <col min="2" max="2" width="26.140625" style="130" bestFit="1" customWidth="1"/>
    <col min="3" max="3" width="9.85546875" style="130" bestFit="1" customWidth="1"/>
    <col min="4" max="4" width="10.140625" style="130" customWidth="1"/>
    <col min="5" max="5" width="16" style="130" bestFit="1" customWidth="1"/>
    <col min="6" max="6" width="20.5703125" style="130" customWidth="1"/>
    <col min="7" max="7" width="17.5703125" style="130" bestFit="1" customWidth="1"/>
    <col min="8" max="8" width="12.42578125" style="130" bestFit="1" customWidth="1"/>
    <col min="9" max="9" width="4.5703125" style="130" bestFit="1" customWidth="1"/>
    <col min="10" max="11" width="12" style="130" customWidth="1"/>
    <col min="12" max="12" width="43.5703125" style="130" customWidth="1"/>
    <col min="13" max="13" width="22.42578125" style="130" bestFit="1" customWidth="1"/>
    <col min="14" max="14" width="11" style="130" bestFit="1" customWidth="1"/>
    <col min="15" max="15" width="11" style="130" customWidth="1"/>
    <col min="16" max="16" width="34.85546875" style="130" customWidth="1"/>
    <col min="17" max="17" width="25.28515625" style="130" customWidth="1"/>
    <col min="18" max="18" width="4.140625" style="130" bestFit="1" customWidth="1"/>
    <col min="19" max="19" width="10.42578125" style="130" customWidth="1"/>
    <col min="20" max="20" width="19.42578125" style="130" customWidth="1"/>
    <col min="21" max="21" width="17.7109375" style="130" bestFit="1" customWidth="1"/>
    <col min="22" max="22" width="13.5703125" style="130" bestFit="1" customWidth="1"/>
    <col min="23" max="23" width="12.85546875" style="130" customWidth="1"/>
    <col min="24" max="24" width="13.140625" style="130" customWidth="1"/>
    <col min="25" max="26" width="8.7109375" style="130"/>
    <col min="27" max="27" width="9.7109375" style="130" customWidth="1"/>
    <col min="28" max="16384" width="8.7109375" style="130"/>
  </cols>
  <sheetData>
    <row r="1" spans="1:29" ht="13.5" thickBot="1" x14ac:dyDescent="0.2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.75" thickBot="1" x14ac:dyDescent="0.3">
      <c r="B2" s="132"/>
      <c r="C2" s="132"/>
      <c r="D2" s="133"/>
      <c r="E2" s="134"/>
      <c r="F2" s="135"/>
      <c r="L2" s="365" t="s">
        <v>7</v>
      </c>
      <c r="M2" s="366"/>
      <c r="P2" s="374" t="s">
        <v>8</v>
      </c>
      <c r="Q2" s="375"/>
      <c r="T2" s="130" t="s">
        <v>20</v>
      </c>
      <c r="U2" s="136">
        <v>800</v>
      </c>
      <c r="V2" s="136">
        <v>38</v>
      </c>
      <c r="W2" s="136">
        <v>3</v>
      </c>
      <c r="X2" s="136">
        <f>V2</f>
        <v>38</v>
      </c>
      <c r="Y2" s="136">
        <f>U2/36*V2*W2</f>
        <v>2533.3333333333335</v>
      </c>
    </row>
    <row r="3" spans="1:29" x14ac:dyDescent="0.2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2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25">
      <c r="B5" s="353" t="s">
        <v>71</v>
      </c>
      <c r="C5" s="354"/>
      <c r="D5" s="354"/>
      <c r="E5" s="354"/>
      <c r="F5" s="355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3</v>
      </c>
      <c r="W5" s="136">
        <f>X2</f>
        <v>38</v>
      </c>
      <c r="X5" s="150">
        <f>U5/36*V5*W5</f>
        <v>1900</v>
      </c>
    </row>
    <row r="6" spans="1:29" ht="15.75" customHeight="1" thickBot="1" x14ac:dyDescent="0.25">
      <c r="B6" s="151" t="s">
        <v>3</v>
      </c>
      <c r="C6" s="378" t="s">
        <v>66</v>
      </c>
      <c r="D6" s="379"/>
      <c r="E6" s="151" t="s">
        <v>67</v>
      </c>
      <c r="F6" s="152" t="s">
        <v>4</v>
      </c>
      <c r="L6" s="153" t="s">
        <v>156</v>
      </c>
      <c r="M6" s="154">
        <f>V5</f>
        <v>3</v>
      </c>
      <c r="P6" s="145"/>
      <c r="Q6" s="146"/>
      <c r="W6" s="155"/>
    </row>
    <row r="7" spans="1:29" ht="13.5" thickBot="1" x14ac:dyDescent="0.25">
      <c r="A7" s="147"/>
      <c r="B7" s="156" t="s">
        <v>65</v>
      </c>
      <c r="C7" s="157">
        <v>50400</v>
      </c>
      <c r="D7" s="158" t="s">
        <v>68</v>
      </c>
      <c r="E7" s="159">
        <f>M42</f>
        <v>0.12463175127524131</v>
      </c>
      <c r="F7" s="160">
        <f>E7*C7</f>
        <v>6281.4402642721625</v>
      </c>
      <c r="L7" s="318" t="s">
        <v>216</v>
      </c>
      <c r="M7" s="319">
        <f>SUM(M3:M5)*M6</f>
        <v>1636.4470000000001</v>
      </c>
      <c r="P7" s="145"/>
      <c r="Q7" s="146"/>
    </row>
    <row r="8" spans="1:29" ht="13.5" thickBot="1" x14ac:dyDescent="0.25">
      <c r="B8" s="162" t="s">
        <v>64</v>
      </c>
      <c r="C8" s="162"/>
      <c r="D8" s="163"/>
      <c r="E8" s="164"/>
      <c r="F8" s="165"/>
      <c r="P8" s="145"/>
      <c r="Q8" s="146"/>
    </row>
    <row r="9" spans="1:29" ht="15.75" thickBot="1" x14ac:dyDescent="0.3">
      <c r="B9" s="166"/>
      <c r="C9" s="166"/>
      <c r="D9" s="166"/>
      <c r="E9" s="167" t="s">
        <v>2</v>
      </c>
      <c r="F9" s="168">
        <f>SUM(F7:F8)</f>
        <v>6281.4402642721625</v>
      </c>
      <c r="L9" s="376" t="s">
        <v>217</v>
      </c>
      <c r="M9" s="377"/>
      <c r="P9" s="145"/>
      <c r="Q9" s="146"/>
    </row>
    <row r="10" spans="1:29" ht="15.75" thickBot="1" x14ac:dyDescent="0.3">
      <c r="B10" s="166"/>
      <c r="C10" s="166"/>
      <c r="D10" s="166"/>
      <c r="E10" s="167" t="s">
        <v>1</v>
      </c>
      <c r="F10" s="169">
        <f>F9*G10</f>
        <v>753.77283171265947</v>
      </c>
      <c r="G10" s="302">
        <v>0.12</v>
      </c>
      <c r="L10" s="170" t="s">
        <v>190</v>
      </c>
      <c r="M10" s="320">
        <f>M7</f>
        <v>1636.4470000000001</v>
      </c>
      <c r="N10" s="171"/>
      <c r="O10" s="171"/>
      <c r="P10" s="145"/>
      <c r="Q10" s="146"/>
      <c r="R10" s="147"/>
      <c r="S10" s="147"/>
      <c r="T10" s="362" t="s">
        <v>19</v>
      </c>
      <c r="U10" s="363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25">
      <c r="B11" s="173"/>
      <c r="C11" s="166"/>
      <c r="D11" s="166"/>
      <c r="E11" s="174" t="s">
        <v>0</v>
      </c>
      <c r="F11" s="175">
        <f>SUM(F9:F10)</f>
        <v>7035.2130959848218</v>
      </c>
      <c r="L11" s="176" t="s">
        <v>191</v>
      </c>
      <c r="M11" s="332">
        <v>28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25">
      <c r="C12" s="137"/>
      <c r="D12" s="137"/>
      <c r="L12" s="179" t="s">
        <v>192</v>
      </c>
      <c r="M12" s="329">
        <f>+(M10/22)*M11</f>
        <v>2082.7507272727275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25">
      <c r="B13" s="353" t="s">
        <v>61</v>
      </c>
      <c r="C13" s="354"/>
      <c r="D13" s="354"/>
      <c r="E13" s="354"/>
      <c r="F13" s="355"/>
      <c r="L13" s="182" t="s">
        <v>193</v>
      </c>
      <c r="M13" s="321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25">
      <c r="B14" s="151" t="s">
        <v>62</v>
      </c>
      <c r="C14" s="378" t="s">
        <v>70</v>
      </c>
      <c r="D14" s="379"/>
      <c r="E14" s="151" t="s">
        <v>67</v>
      </c>
      <c r="F14" s="152" t="s">
        <v>4</v>
      </c>
      <c r="L14" s="183" t="s">
        <v>191</v>
      </c>
      <c r="M14" s="322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25">
      <c r="B15" s="187" t="s">
        <v>61</v>
      </c>
      <c r="C15" s="188">
        <f>H51</f>
        <v>943.67109375000018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0.8</v>
      </c>
      <c r="F15" s="168">
        <f>C15*E15</f>
        <v>754.93687500000021</v>
      </c>
      <c r="L15" s="191" t="s">
        <v>192</v>
      </c>
      <c r="M15" s="323">
        <f>+(M13/22)*M14</f>
        <v>0</v>
      </c>
      <c r="N15" s="137"/>
      <c r="O15" s="137"/>
      <c r="T15" s="180"/>
      <c r="U15" s="181">
        <v>0</v>
      </c>
    </row>
    <row r="16" spans="1:29" ht="15.75" thickBot="1" x14ac:dyDescent="0.3">
      <c r="B16" s="162"/>
      <c r="C16" s="162"/>
      <c r="D16" s="163"/>
      <c r="E16" s="164"/>
      <c r="F16" s="192"/>
      <c r="L16" s="193" t="s">
        <v>194</v>
      </c>
      <c r="M16" s="324">
        <v>0</v>
      </c>
      <c r="P16" s="365" t="s">
        <v>221</v>
      </c>
      <c r="Q16" s="366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2">
      <c r="B17" s="166"/>
      <c r="C17" s="166"/>
      <c r="D17" s="166"/>
      <c r="E17" s="167" t="s">
        <v>2</v>
      </c>
      <c r="F17" s="168">
        <f>SUM(F15:F16)</f>
        <v>754.93687500000021</v>
      </c>
      <c r="L17" s="195" t="s">
        <v>191</v>
      </c>
      <c r="M17" s="325">
        <v>0</v>
      </c>
      <c r="N17" s="147"/>
      <c r="O17" s="147"/>
      <c r="P17" s="282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25">
      <c r="B18" s="166"/>
      <c r="C18" s="166"/>
      <c r="D18" s="166"/>
      <c r="E18" s="167" t="s">
        <v>1</v>
      </c>
      <c r="F18" s="169">
        <f>F17*G18</f>
        <v>90.59242500000002</v>
      </c>
      <c r="G18" s="302">
        <v>0.12</v>
      </c>
      <c r="L18" s="200" t="s">
        <v>192</v>
      </c>
      <c r="M18" s="330">
        <f>+(M16/22)*M17</f>
        <v>0</v>
      </c>
      <c r="P18" s="318" t="s">
        <v>13</v>
      </c>
      <c r="Q18" s="335">
        <f>((M34)+((M34)*Q27))*Q17</f>
        <v>692.80591150060604</v>
      </c>
      <c r="T18" s="203"/>
      <c r="U18" s="204">
        <v>0</v>
      </c>
    </row>
    <row r="19" spans="2:29" ht="13.5" thickBot="1" x14ac:dyDescent="0.25">
      <c r="B19" s="173"/>
      <c r="C19" s="166"/>
      <c r="D19" s="166"/>
      <c r="E19" s="174" t="s">
        <v>0</v>
      </c>
      <c r="F19" s="175">
        <f>SUM(F17:F18)</f>
        <v>845.52930000000026</v>
      </c>
      <c r="L19" s="205" t="s">
        <v>195</v>
      </c>
      <c r="M19" s="326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25">
      <c r="B20" s="206"/>
      <c r="C20" s="206"/>
      <c r="D20" s="206"/>
      <c r="E20" s="207"/>
      <c r="F20" s="208"/>
      <c r="L20" s="209" t="s">
        <v>191</v>
      </c>
      <c r="M20" s="327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.75" thickBot="1" x14ac:dyDescent="0.3">
      <c r="B21" s="206"/>
      <c r="C21" s="206"/>
      <c r="D21" s="206"/>
      <c r="E21" s="207"/>
      <c r="F21" s="208"/>
      <c r="L21" s="210" t="s">
        <v>192</v>
      </c>
      <c r="M21" s="331">
        <f>+(M19/22)*M20</f>
        <v>0</v>
      </c>
      <c r="P21" s="362" t="s">
        <v>11</v>
      </c>
      <c r="Q21" s="363"/>
    </row>
    <row r="22" spans="2:29" ht="13.5" thickBot="1" x14ac:dyDescent="0.25">
      <c r="B22" s="369"/>
      <c r="C22" s="369"/>
      <c r="D22" s="369"/>
      <c r="E22" s="369"/>
      <c r="F22" s="369"/>
      <c r="L22" s="185" t="s">
        <v>0</v>
      </c>
      <c r="M22" s="328">
        <f>+M18+M21+M15+M12</f>
        <v>2082.7507272727275</v>
      </c>
      <c r="P22" s="196" t="s">
        <v>12</v>
      </c>
      <c r="Q22" s="197">
        <v>0.13</v>
      </c>
    </row>
    <row r="23" spans="2:29" ht="15.75" thickBot="1" x14ac:dyDescent="0.3">
      <c r="B23" s="211" t="s">
        <v>72</v>
      </c>
      <c r="C23" s="212"/>
      <c r="D23" s="212"/>
      <c r="E23" s="212"/>
      <c r="F23" s="212"/>
      <c r="P23" s="201" t="s">
        <v>13</v>
      </c>
      <c r="Q23" s="202">
        <f>(M37+M38)*Q22</f>
        <v>726.5224658603023</v>
      </c>
    </row>
    <row r="24" spans="2:29" ht="13.5" thickBot="1" x14ac:dyDescent="0.25"/>
    <row r="25" spans="2:29" ht="15.75" thickBot="1" x14ac:dyDescent="0.3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65" t="s">
        <v>214</v>
      </c>
      <c r="M25" s="366"/>
      <c r="P25" s="217" t="s">
        <v>5</v>
      </c>
      <c r="Q25" s="218">
        <f>C7</f>
        <v>50400</v>
      </c>
      <c r="T25" s="185" t="s">
        <v>0</v>
      </c>
      <c r="U25" s="219">
        <f>SUM(U11:U18)</f>
        <v>0</v>
      </c>
    </row>
    <row r="26" spans="2:29" ht="13.5" thickBot="1" x14ac:dyDescent="0.2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2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1088.5472639999998</v>
      </c>
      <c r="P27" s="217" t="s">
        <v>15</v>
      </c>
      <c r="Q27" s="227">
        <v>0.4</v>
      </c>
      <c r="T27" s="185"/>
    </row>
    <row r="28" spans="2:29" ht="13.5" thickBot="1" x14ac:dyDescent="0.2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2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7">
        <f>SUM(M26:M28)</f>
        <v>1088.5472639999998</v>
      </c>
      <c r="P29" s="383" t="s">
        <v>206</v>
      </c>
      <c r="Q29" s="384"/>
    </row>
    <row r="30" spans="2:29" ht="13.5" thickBot="1" x14ac:dyDescent="0.2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36" t="s">
        <v>218</v>
      </c>
      <c r="Q30" s="337">
        <f>M22</f>
        <v>2082.7507272727275</v>
      </c>
    </row>
    <row r="31" spans="2:29" ht="15.75" thickBot="1" x14ac:dyDescent="0.3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64" t="s">
        <v>213</v>
      </c>
      <c r="M31" s="363"/>
      <c r="P31" s="295" t="s">
        <v>219</v>
      </c>
      <c r="Q31" s="296">
        <f>M29</f>
        <v>1088.5472639999998</v>
      </c>
      <c r="T31" s="364" t="s">
        <v>7</v>
      </c>
      <c r="U31" s="370"/>
      <c r="V31" s="371"/>
    </row>
    <row r="32" spans="2:29" ht="13.5" thickBot="1" x14ac:dyDescent="0.2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16" t="s">
        <v>215</v>
      </c>
      <c r="M32" s="229">
        <f>SUM(M29+M22)</f>
        <v>3171.2979912727274</v>
      </c>
      <c r="P32" s="295" t="s">
        <v>8</v>
      </c>
      <c r="Q32" s="296">
        <f>M33</f>
        <v>127.77777777777777</v>
      </c>
      <c r="T32" s="372" t="s">
        <v>6</v>
      </c>
      <c r="U32" s="373"/>
      <c r="V32" s="139">
        <v>386</v>
      </c>
    </row>
    <row r="33" spans="2:22" ht="13.5" thickBot="1" x14ac:dyDescent="0.2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95" t="s">
        <v>223</v>
      </c>
      <c r="Q33" s="296">
        <f>Q18</f>
        <v>692.80591150060604</v>
      </c>
      <c r="T33" s="282" t="s">
        <v>198</v>
      </c>
      <c r="U33" s="283">
        <v>12</v>
      </c>
      <c r="V33" s="284">
        <f>$V$32/U33</f>
        <v>32.166666666666664</v>
      </c>
    </row>
    <row r="34" spans="2:22" ht="15.75" thickBot="1" x14ac:dyDescent="0.3">
      <c r="B34" s="232"/>
      <c r="L34" s="185" t="s">
        <v>0</v>
      </c>
      <c r="M34" s="334">
        <f>SUM(M32:M33)</f>
        <v>3299.0757690505052</v>
      </c>
      <c r="N34" s="333"/>
      <c r="T34" s="282" t="s">
        <v>199</v>
      </c>
      <c r="U34" s="283">
        <v>12</v>
      </c>
      <c r="V34" s="284">
        <f>(($V$32*U34)/U34)/U34</f>
        <v>32.166666666666664</v>
      </c>
    </row>
    <row r="35" spans="2:22" ht="13.5" thickBot="1" x14ac:dyDescent="0.25">
      <c r="P35" s="297" t="s">
        <v>207</v>
      </c>
      <c r="Q35" s="298">
        <f>SUM(Q30:Q34)</f>
        <v>3991.8816805511115</v>
      </c>
      <c r="T35" s="282" t="s">
        <v>200</v>
      </c>
      <c r="U35" s="283">
        <v>24</v>
      </c>
      <c r="V35" s="284">
        <f>(($V$32*U34)/U35)/12</f>
        <v>16.083333333333332</v>
      </c>
    </row>
    <row r="36" spans="2:22" ht="15.75" thickBot="1" x14ac:dyDescent="0.3">
      <c r="G36" s="233" t="s">
        <v>92</v>
      </c>
      <c r="H36" s="234">
        <f>C7</f>
        <v>50400</v>
      </c>
      <c r="L36" s="367" t="s">
        <v>196</v>
      </c>
      <c r="M36" s="368"/>
      <c r="T36" s="285" t="s">
        <v>201</v>
      </c>
      <c r="U36" s="286">
        <v>12</v>
      </c>
      <c r="V36" s="287">
        <f>(($V$32*U36)/U36)/U36</f>
        <v>32.166666666666664</v>
      </c>
    </row>
    <row r="37" spans="2:22" ht="13.5" thickBot="1" x14ac:dyDescent="0.25">
      <c r="G37" s="235" t="s">
        <v>89</v>
      </c>
      <c r="H37" s="236" t="s">
        <v>88</v>
      </c>
      <c r="L37" s="315" t="s">
        <v>220</v>
      </c>
      <c r="M37" s="229">
        <f>M34+Q18</f>
        <v>3991.8816805511115</v>
      </c>
      <c r="N37" s="237"/>
      <c r="O37" s="237"/>
      <c r="P37" s="299" t="s">
        <v>208</v>
      </c>
      <c r="Q37" s="300">
        <f>F7</f>
        <v>6281.4402642721625</v>
      </c>
      <c r="T37" s="288" t="s">
        <v>202</v>
      </c>
      <c r="U37" s="289">
        <v>0.1215</v>
      </c>
      <c r="V37" s="290">
        <f>(V32*U37)</f>
        <v>46.899000000000001</v>
      </c>
    </row>
    <row r="38" spans="2:22" ht="13.5" thickBot="1" x14ac:dyDescent="0.25">
      <c r="G38" s="235" t="s">
        <v>74</v>
      </c>
      <c r="H38" s="236" t="s">
        <v>77</v>
      </c>
      <c r="L38" s="230" t="s">
        <v>14</v>
      </c>
      <c r="M38" s="238">
        <f>M37*Q27</f>
        <v>1596.7526722204448</v>
      </c>
      <c r="Q38" s="142"/>
      <c r="T38" s="381" t="s">
        <v>203</v>
      </c>
      <c r="U38" s="382"/>
      <c r="V38" s="149">
        <f>SUM(V33:V37)</f>
        <v>159.48233333333332</v>
      </c>
    </row>
    <row r="39" spans="2:22" ht="13.5" thickBot="1" x14ac:dyDescent="0.25">
      <c r="B39" s="239" t="s">
        <v>115</v>
      </c>
      <c r="C39" s="239" t="s">
        <v>119</v>
      </c>
      <c r="G39" s="235" t="s">
        <v>73</v>
      </c>
      <c r="H39" s="236" t="s">
        <v>82</v>
      </c>
      <c r="P39" s="340" t="s">
        <v>209</v>
      </c>
      <c r="Q39" s="341">
        <f>Q37-Q35</f>
        <v>2289.558583721051</v>
      </c>
      <c r="T39" s="372" t="s">
        <v>204</v>
      </c>
      <c r="U39" s="373"/>
      <c r="V39" s="291">
        <f>V32+V38</f>
        <v>545.48233333333337</v>
      </c>
    </row>
    <row r="40" spans="2:22" ht="15.75" thickBot="1" x14ac:dyDescent="0.3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8"/>
      <c r="Q40" s="339"/>
      <c r="T40" s="292" t="s">
        <v>205</v>
      </c>
      <c r="U40" s="293">
        <v>1</v>
      </c>
      <c r="V40" s="294">
        <f>V39*U40</f>
        <v>545.48233333333337</v>
      </c>
    </row>
    <row r="41" spans="2:22" ht="13.5" thickBot="1" x14ac:dyDescent="0.25">
      <c r="B41" s="223" t="s">
        <v>110</v>
      </c>
      <c r="C41" s="273">
        <v>1.6</v>
      </c>
      <c r="L41" s="242" t="s">
        <v>16</v>
      </c>
      <c r="M41" s="243">
        <f>(M37+Q18)/Q25</f>
        <v>9.2950150635946777E-2</v>
      </c>
      <c r="P41" s="380" t="s">
        <v>224</v>
      </c>
      <c r="Q41" s="380"/>
    </row>
    <row r="42" spans="2:22" ht="13.5" thickBot="1" x14ac:dyDescent="0.25">
      <c r="B42" s="223" t="s">
        <v>111</v>
      </c>
      <c r="C42" s="273">
        <v>1.4</v>
      </c>
      <c r="G42" s="136" t="s">
        <v>100</v>
      </c>
      <c r="H42" s="244">
        <f>H36*H40</f>
        <v>418320.00000000006</v>
      </c>
      <c r="I42" s="245" t="s">
        <v>99</v>
      </c>
      <c r="L42" s="242" t="s">
        <v>17</v>
      </c>
      <c r="M42" s="243">
        <f>(M37+M38+Q18)/Q25</f>
        <v>0.12463175127524131</v>
      </c>
      <c r="P42" s="295" t="s">
        <v>225</v>
      </c>
      <c r="Q42" s="301">
        <f>Q23</f>
        <v>726.5224658603023</v>
      </c>
    </row>
    <row r="43" spans="2:22" ht="13.5" thickBot="1" x14ac:dyDescent="0.2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2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3" t="s">
        <v>128</v>
      </c>
      <c r="L44" s="354"/>
      <c r="M44" s="354"/>
      <c r="N44" s="355"/>
      <c r="O44" s="275"/>
      <c r="P44" s="295" t="s">
        <v>210</v>
      </c>
      <c r="Q44" s="312">
        <f>(Q42*R44)/Q22</f>
        <v>167.65903058314669</v>
      </c>
      <c r="R44" s="314">
        <v>0.03</v>
      </c>
    </row>
    <row r="45" spans="2:22" ht="13.5" thickBot="1" x14ac:dyDescent="0.2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7"/>
      <c r="P45" s="295" t="s">
        <v>212</v>
      </c>
      <c r="Q45" s="313">
        <f>(Q42*R45)/Q22</f>
        <v>558.86343527715565</v>
      </c>
      <c r="R45" s="314">
        <v>0.1</v>
      </c>
    </row>
    <row r="46" spans="2:22" ht="15" x14ac:dyDescent="0.2">
      <c r="B46" s="223" t="s">
        <v>116</v>
      </c>
      <c r="C46" s="273">
        <v>0.6</v>
      </c>
      <c r="G46" s="136" t="s">
        <v>103</v>
      </c>
      <c r="H46" s="244">
        <f>(H42*H44)+H42</f>
        <v>439236.00000000006</v>
      </c>
      <c r="I46" s="245" t="s">
        <v>99</v>
      </c>
      <c r="K46" s="356">
        <v>0</v>
      </c>
      <c r="L46" s="248" t="s">
        <v>120</v>
      </c>
      <c r="M46" s="359">
        <v>22000</v>
      </c>
      <c r="N46" s="359">
        <f>M46*K46</f>
        <v>0</v>
      </c>
      <c r="O46" s="308"/>
    </row>
    <row r="47" spans="2:22" ht="15.75" x14ac:dyDescent="0.25">
      <c r="B47" s="223" t="s">
        <v>118</v>
      </c>
      <c r="C47" s="273">
        <v>0.5</v>
      </c>
      <c r="G47" s="136" t="s">
        <v>104</v>
      </c>
      <c r="H47" s="249">
        <f>H46/H43</f>
        <v>428.94140625000006</v>
      </c>
      <c r="I47" s="245" t="s">
        <v>106</v>
      </c>
      <c r="K47" s="357"/>
      <c r="L47" s="250" t="s">
        <v>121</v>
      </c>
      <c r="M47" s="360"/>
      <c r="N47" s="360"/>
      <c r="O47" s="308"/>
      <c r="P47" s="342" t="s">
        <v>211</v>
      </c>
      <c r="Q47" s="343">
        <f>Q39-Q42</f>
        <v>1563.0361178607486</v>
      </c>
    </row>
    <row r="48" spans="2:22" ht="15" x14ac:dyDescent="0.2">
      <c r="B48" s="223" t="s">
        <v>117</v>
      </c>
      <c r="C48" s="273">
        <v>0.35</v>
      </c>
      <c r="G48" s="136" t="s">
        <v>105</v>
      </c>
      <c r="H48" s="244">
        <f>H46*I48</f>
        <v>43923.600000000006</v>
      </c>
      <c r="I48" s="251">
        <v>0.1</v>
      </c>
      <c r="K48" s="357"/>
      <c r="L48" s="250" t="s">
        <v>122</v>
      </c>
      <c r="M48" s="360"/>
      <c r="N48" s="360"/>
      <c r="O48" s="308"/>
    </row>
    <row r="49" spans="7:15" ht="15" x14ac:dyDescent="0.2">
      <c r="G49" s="136" t="s">
        <v>107</v>
      </c>
      <c r="H49" s="252">
        <f>H48*12</f>
        <v>527083.20000000007</v>
      </c>
      <c r="I49" s="245" t="s">
        <v>99</v>
      </c>
      <c r="K49" s="357"/>
      <c r="L49" s="250" t="s">
        <v>123</v>
      </c>
      <c r="M49" s="360"/>
      <c r="N49" s="360"/>
      <c r="O49" s="308"/>
    </row>
    <row r="50" spans="7:15" ht="15" x14ac:dyDescent="0.2">
      <c r="K50" s="357"/>
      <c r="L50" s="250" t="s">
        <v>124</v>
      </c>
      <c r="M50" s="360"/>
      <c r="N50" s="360"/>
      <c r="O50" s="308"/>
    </row>
    <row r="51" spans="7:15" ht="15.75" thickBot="1" x14ac:dyDescent="0.3">
      <c r="G51" s="253" t="s">
        <v>108</v>
      </c>
      <c r="H51" s="254">
        <f>(H46+H49)/H43</f>
        <v>943.67109375000018</v>
      </c>
      <c r="I51" s="255" t="s">
        <v>106</v>
      </c>
      <c r="K51" s="358"/>
      <c r="L51" s="256" t="s">
        <v>125</v>
      </c>
      <c r="M51" s="361"/>
      <c r="N51" s="361"/>
      <c r="O51" s="308"/>
    </row>
    <row r="52" spans="7:15" ht="13.5" thickBot="1" x14ac:dyDescent="0.25">
      <c r="K52" s="257">
        <v>0</v>
      </c>
      <c r="L52" s="258" t="s">
        <v>126</v>
      </c>
      <c r="M52" s="259">
        <v>5000</v>
      </c>
      <c r="N52" s="259">
        <f>M52*K52</f>
        <v>0</v>
      </c>
      <c r="O52" s="309"/>
    </row>
    <row r="53" spans="7:15" ht="13.5" thickBot="1" x14ac:dyDescent="0.25">
      <c r="K53" s="257">
        <v>0</v>
      </c>
      <c r="L53" s="258" t="s">
        <v>127</v>
      </c>
      <c r="M53" s="259">
        <v>9900</v>
      </c>
      <c r="N53" s="259">
        <f>M53*K53</f>
        <v>0</v>
      </c>
      <c r="O53" s="309"/>
    </row>
    <row r="54" spans="7:15" ht="13.5" thickBot="1" x14ac:dyDescent="0.25">
      <c r="O54" s="310"/>
    </row>
    <row r="55" spans="7:15" ht="13.5" thickBot="1" x14ac:dyDescent="0.25">
      <c r="M55" s="151" t="s">
        <v>0</v>
      </c>
      <c r="N55" s="259">
        <f>SUM(N46:N53)</f>
        <v>0</v>
      </c>
      <c r="O55" s="309"/>
    </row>
    <row r="56" spans="7:15" x14ac:dyDescent="0.2">
      <c r="O56" s="310"/>
    </row>
    <row r="57" spans="7:15" ht="13.5" thickBot="1" x14ac:dyDescent="0.25">
      <c r="O57" s="310"/>
    </row>
    <row r="58" spans="7:15" ht="15" x14ac:dyDescent="0.25">
      <c r="K58" s="344" t="s">
        <v>130</v>
      </c>
      <c r="L58" s="345"/>
      <c r="M58" s="345"/>
      <c r="N58" s="346"/>
      <c r="O58" s="311"/>
    </row>
    <row r="59" spans="7:15" ht="15" x14ac:dyDescent="0.25">
      <c r="K59" s="347" t="s">
        <v>131</v>
      </c>
      <c r="L59" s="348"/>
      <c r="M59" s="348"/>
      <c r="N59" s="349"/>
      <c r="O59" s="311"/>
    </row>
    <row r="60" spans="7:15" ht="15.75" thickBot="1" x14ac:dyDescent="0.3">
      <c r="K60" s="350" t="s">
        <v>187</v>
      </c>
      <c r="L60" s="351"/>
      <c r="M60" s="351"/>
      <c r="N60" s="352"/>
      <c r="O60" s="311"/>
    </row>
    <row r="61" spans="7:15" ht="13.5" thickBot="1" x14ac:dyDescent="0.25">
      <c r="K61" s="247" t="s">
        <v>52</v>
      </c>
      <c r="L61" s="247" t="s">
        <v>132</v>
      </c>
      <c r="M61" s="247" t="s">
        <v>133</v>
      </c>
      <c r="N61" s="247" t="s">
        <v>134</v>
      </c>
      <c r="O61" s="307"/>
    </row>
    <row r="62" spans="7:15" x14ac:dyDescent="0.2">
      <c r="K62" s="260">
        <v>0</v>
      </c>
      <c r="L62" s="261" t="s">
        <v>135</v>
      </c>
      <c r="M62" s="262" t="s">
        <v>136</v>
      </c>
      <c r="N62" s="263">
        <v>0</v>
      </c>
      <c r="O62" s="303"/>
    </row>
    <row r="63" spans="7:15" x14ac:dyDescent="0.2">
      <c r="K63" s="260">
        <v>0</v>
      </c>
      <c r="L63" s="264" t="s">
        <v>137</v>
      </c>
      <c r="M63" s="260" t="s">
        <v>138</v>
      </c>
      <c r="N63" s="265">
        <v>859.68</v>
      </c>
      <c r="O63" s="303"/>
    </row>
    <row r="64" spans="7:15" x14ac:dyDescent="0.2">
      <c r="K64" s="260">
        <v>0</v>
      </c>
      <c r="L64" s="264" t="s">
        <v>139</v>
      </c>
      <c r="M64" s="260" t="s">
        <v>140</v>
      </c>
      <c r="N64" s="265">
        <v>15703</v>
      </c>
      <c r="O64" s="303"/>
    </row>
    <row r="65" spans="11:15" x14ac:dyDescent="0.2">
      <c r="K65" s="260">
        <v>0</v>
      </c>
      <c r="L65" s="264" t="s">
        <v>141</v>
      </c>
      <c r="M65" s="260" t="s">
        <v>142</v>
      </c>
      <c r="N65" s="265">
        <v>0</v>
      </c>
      <c r="O65" s="303"/>
    </row>
    <row r="66" spans="11:15" x14ac:dyDescent="0.2">
      <c r="K66" s="260">
        <v>0</v>
      </c>
      <c r="L66" s="264" t="s">
        <v>143</v>
      </c>
      <c r="M66" s="260" t="s">
        <v>144</v>
      </c>
      <c r="N66" s="265">
        <v>520.48</v>
      </c>
      <c r="O66" s="303"/>
    </row>
    <row r="67" spans="11:15" x14ac:dyDescent="0.2">
      <c r="K67" s="260">
        <v>0</v>
      </c>
      <c r="L67" s="264" t="s">
        <v>145</v>
      </c>
      <c r="M67" s="260" t="s">
        <v>146</v>
      </c>
      <c r="N67" s="265">
        <v>3920</v>
      </c>
      <c r="O67" s="303"/>
    </row>
    <row r="68" spans="11:15" ht="13.5" thickBot="1" x14ac:dyDescent="0.25">
      <c r="K68" s="266">
        <v>0</v>
      </c>
      <c r="L68" s="267" t="s">
        <v>147</v>
      </c>
      <c r="M68" s="266" t="s">
        <v>148</v>
      </c>
      <c r="N68" s="268">
        <v>595</v>
      </c>
      <c r="O68" s="303"/>
    </row>
    <row r="69" spans="11:15" ht="13.5" thickBot="1" x14ac:dyDescent="0.25"/>
    <row r="70" spans="11:15" ht="15.75" thickBot="1" x14ac:dyDescent="0.25">
      <c r="M70" s="269" t="s">
        <v>0</v>
      </c>
      <c r="N70" s="259">
        <f>SUM(N62:N69)</f>
        <v>21598.16</v>
      </c>
      <c r="O70" s="304"/>
    </row>
    <row r="71" spans="11:15" ht="13.5" thickBot="1" x14ac:dyDescent="0.25"/>
    <row r="72" spans="11:15" ht="15.75" thickBot="1" x14ac:dyDescent="0.25">
      <c r="M72" s="269" t="s">
        <v>188</v>
      </c>
      <c r="N72" s="270">
        <v>1000000</v>
      </c>
      <c r="O72" s="305"/>
    </row>
    <row r="73" spans="11:15" ht="13.5" thickBot="1" x14ac:dyDescent="0.25"/>
    <row r="74" spans="11:15" ht="15.75" thickBot="1" x14ac:dyDescent="0.25">
      <c r="M74" s="271" t="s">
        <v>189</v>
      </c>
      <c r="N74" s="272">
        <f>N70/N72</f>
        <v>2.1598159999999998E-2</v>
      </c>
      <c r="O74" s="306"/>
    </row>
  </sheetData>
  <mergeCells count="27">
    <mergeCell ref="P41:Q41"/>
    <mergeCell ref="T38:U38"/>
    <mergeCell ref="T39:U39"/>
    <mergeCell ref="P29:Q29"/>
    <mergeCell ref="P21:Q21"/>
    <mergeCell ref="L2:M2"/>
    <mergeCell ref="P2:Q2"/>
    <mergeCell ref="B5:F5"/>
    <mergeCell ref="L9:M9"/>
    <mergeCell ref="L25:M25"/>
    <mergeCell ref="C6:D6"/>
    <mergeCell ref="C14:D14"/>
    <mergeCell ref="T10:U10"/>
    <mergeCell ref="L31:M31"/>
    <mergeCell ref="P16:Q16"/>
    <mergeCell ref="B13:F13"/>
    <mergeCell ref="L36:M36"/>
    <mergeCell ref="B22:F22"/>
    <mergeCell ref="T31:V31"/>
    <mergeCell ref="T32:U32"/>
    <mergeCell ref="K58:N58"/>
    <mergeCell ref="K59:N59"/>
    <mergeCell ref="K60:N60"/>
    <mergeCell ref="K44:N44"/>
    <mergeCell ref="K46:K51"/>
    <mergeCell ref="M46:M51"/>
    <mergeCell ref="N46:N51"/>
  </mergeCells>
  <conditionalFormatting sqref="H40">
    <cfRule type="containsText" dxfId="2" priority="1" operator="containsText" text="INCORRECTO">
      <formula>NOT(ISERROR(SEARCH("INCORRECTO",H40)))</formula>
    </cfRule>
  </conditionalFormatting>
  <dataValidations disablePrompts="1" count="3">
    <dataValidation type="list" allowBlank="1" showInputMessage="1" showErrorMessage="1" sqref="H37">
      <formula1>$C$26:$C$33</formula1>
    </dataValidation>
    <dataValidation type="list" allowBlank="1" showInputMessage="1" showErrorMessage="1" sqref="H39">
      <formula1>$H$29:$H$30</formula1>
    </dataValidation>
    <dataValidation type="list" allowBlank="1" showInputMessage="1" showErrorMessage="1" sqref="H38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4"/>
  <sheetViews>
    <sheetView showGridLines="0" zoomScale="70" zoomScaleNormal="70" workbookViewId="0">
      <selection activeCell="C15" sqref="C15"/>
    </sheetView>
  </sheetViews>
  <sheetFormatPr baseColWidth="10" defaultColWidth="8.7109375" defaultRowHeight="12.75" x14ac:dyDescent="0.2"/>
  <cols>
    <col min="1" max="1" width="7.85546875" style="130" customWidth="1"/>
    <col min="2" max="2" width="26.140625" style="130" bestFit="1" customWidth="1"/>
    <col min="3" max="3" width="9.85546875" style="130" bestFit="1" customWidth="1"/>
    <col min="4" max="4" width="10.140625" style="130" customWidth="1"/>
    <col min="5" max="5" width="16" style="130" bestFit="1" customWidth="1"/>
    <col min="6" max="6" width="20.5703125" style="130" customWidth="1"/>
    <col min="7" max="7" width="17.5703125" style="130" bestFit="1" customWidth="1"/>
    <col min="8" max="8" width="12.42578125" style="130" bestFit="1" customWidth="1"/>
    <col min="9" max="9" width="4.5703125" style="130" bestFit="1" customWidth="1"/>
    <col min="10" max="11" width="12" style="130" customWidth="1"/>
    <col min="12" max="12" width="43.5703125" style="130" customWidth="1"/>
    <col min="13" max="13" width="22.42578125" style="130" bestFit="1" customWidth="1"/>
    <col min="14" max="14" width="11" style="130" bestFit="1" customWidth="1"/>
    <col min="15" max="15" width="11" style="130" customWidth="1"/>
    <col min="16" max="16" width="34.85546875" style="130" customWidth="1"/>
    <col min="17" max="17" width="25.28515625" style="130" customWidth="1"/>
    <col min="18" max="18" width="4.140625" style="130" bestFit="1" customWidth="1"/>
    <col min="19" max="19" width="10.42578125" style="130" customWidth="1"/>
    <col min="20" max="20" width="19.42578125" style="130" customWidth="1"/>
    <col min="21" max="21" width="17.7109375" style="130" bestFit="1" customWidth="1"/>
    <col min="22" max="22" width="13.5703125" style="130" bestFit="1" customWidth="1"/>
    <col min="23" max="23" width="12.85546875" style="130" customWidth="1"/>
    <col min="24" max="24" width="13.140625" style="130" customWidth="1"/>
    <col min="25" max="26" width="8.7109375" style="130"/>
    <col min="27" max="27" width="9.7109375" style="130" customWidth="1"/>
    <col min="28" max="16384" width="8.7109375" style="130"/>
  </cols>
  <sheetData>
    <row r="1" spans="1:29" ht="13.5" thickBot="1" x14ac:dyDescent="0.2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.75" thickBot="1" x14ac:dyDescent="0.3">
      <c r="B2" s="132"/>
      <c r="C2" s="132"/>
      <c r="D2" s="133"/>
      <c r="E2" s="134"/>
      <c r="F2" s="135"/>
      <c r="L2" s="365" t="s">
        <v>7</v>
      </c>
      <c r="M2" s="366"/>
      <c r="P2" s="374" t="s">
        <v>8</v>
      </c>
      <c r="Q2" s="375"/>
      <c r="T2" s="130" t="s">
        <v>20</v>
      </c>
      <c r="U2" s="136">
        <v>800</v>
      </c>
      <c r="V2" s="136">
        <v>16</v>
      </c>
      <c r="W2" s="136">
        <v>6</v>
      </c>
      <c r="X2" s="136">
        <f>V2</f>
        <v>16</v>
      </c>
      <c r="Y2" s="136">
        <f>U2/36*V2*W2</f>
        <v>2133.333333333333</v>
      </c>
    </row>
    <row r="3" spans="1:29" x14ac:dyDescent="0.2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2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25">
      <c r="B5" s="353" t="s">
        <v>71</v>
      </c>
      <c r="C5" s="354"/>
      <c r="D5" s="354"/>
      <c r="E5" s="354"/>
      <c r="F5" s="355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6</v>
      </c>
      <c r="W5" s="136">
        <f>X2</f>
        <v>16</v>
      </c>
      <c r="X5" s="150">
        <f>U5/36*V5*W5</f>
        <v>1600</v>
      </c>
    </row>
    <row r="6" spans="1:29" ht="15.75" customHeight="1" thickBot="1" x14ac:dyDescent="0.25">
      <c r="B6" s="151" t="s">
        <v>3</v>
      </c>
      <c r="C6" s="378" t="s">
        <v>66</v>
      </c>
      <c r="D6" s="379"/>
      <c r="E6" s="151" t="s">
        <v>67</v>
      </c>
      <c r="F6" s="274" t="s">
        <v>4</v>
      </c>
      <c r="L6" s="153" t="s">
        <v>156</v>
      </c>
      <c r="M6" s="154">
        <f>V5</f>
        <v>6</v>
      </c>
      <c r="P6" s="145"/>
      <c r="Q6" s="146"/>
      <c r="W6" s="155"/>
    </row>
    <row r="7" spans="1:29" ht="13.5" thickBot="1" x14ac:dyDescent="0.25">
      <c r="A7" s="147"/>
      <c r="B7" s="156" t="s">
        <v>65</v>
      </c>
      <c r="C7" s="157">
        <v>9000</v>
      </c>
      <c r="D7" s="158" t="s">
        <v>68</v>
      </c>
      <c r="E7" s="159">
        <f>M42</f>
        <v>0.28846373900139177</v>
      </c>
      <c r="F7" s="160">
        <f>E7*C7</f>
        <v>2596.1736510125261</v>
      </c>
      <c r="L7" s="318" t="s">
        <v>216</v>
      </c>
      <c r="M7" s="319">
        <f>SUM(M3:M5)*M6</f>
        <v>3272.8940000000002</v>
      </c>
      <c r="P7" s="145"/>
      <c r="Q7" s="146"/>
    </row>
    <row r="8" spans="1:29" ht="13.5" thickBot="1" x14ac:dyDescent="0.25">
      <c r="B8" s="162" t="s">
        <v>64</v>
      </c>
      <c r="C8" s="162"/>
      <c r="D8" s="163"/>
      <c r="E8" s="164"/>
      <c r="F8" s="165"/>
      <c r="P8" s="145"/>
      <c r="Q8" s="146"/>
    </row>
    <row r="9" spans="1:29" ht="15.75" thickBot="1" x14ac:dyDescent="0.3">
      <c r="B9" s="166"/>
      <c r="C9" s="166"/>
      <c r="D9" s="166"/>
      <c r="E9" s="167" t="s">
        <v>2</v>
      </c>
      <c r="F9" s="168">
        <f>SUM(F7:F8)</f>
        <v>2596.1736510125261</v>
      </c>
      <c r="L9" s="376" t="s">
        <v>217</v>
      </c>
      <c r="M9" s="377"/>
      <c r="P9" s="145"/>
      <c r="Q9" s="146"/>
    </row>
    <row r="10" spans="1:29" ht="15.75" thickBot="1" x14ac:dyDescent="0.3">
      <c r="B10" s="166"/>
      <c r="C10" s="166"/>
      <c r="D10" s="166"/>
      <c r="E10" s="167" t="s">
        <v>1</v>
      </c>
      <c r="F10" s="169">
        <f>F9*G10</f>
        <v>311.5408381215031</v>
      </c>
      <c r="G10" s="302">
        <v>0.12</v>
      </c>
      <c r="L10" s="170" t="s">
        <v>190</v>
      </c>
      <c r="M10" s="320">
        <f>M7</f>
        <v>3272.8940000000002</v>
      </c>
      <c r="N10" s="171"/>
      <c r="O10" s="171"/>
      <c r="P10" s="145"/>
      <c r="Q10" s="146"/>
      <c r="R10" s="147"/>
      <c r="S10" s="147"/>
      <c r="T10" s="362" t="s">
        <v>19</v>
      </c>
      <c r="U10" s="363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25">
      <c r="B11" s="173"/>
      <c r="C11" s="166"/>
      <c r="D11" s="166"/>
      <c r="E11" s="174" t="s">
        <v>0</v>
      </c>
      <c r="F11" s="175">
        <f>SUM(F9:F10)</f>
        <v>2907.714489134029</v>
      </c>
      <c r="L11" s="176" t="s">
        <v>191</v>
      </c>
      <c r="M11" s="332">
        <v>7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25">
      <c r="C12" s="137"/>
      <c r="D12" s="137"/>
      <c r="L12" s="179" t="s">
        <v>192</v>
      </c>
      <c r="M12" s="329">
        <f>+(M10/22)*M11</f>
        <v>1041.3753636363638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25">
      <c r="B13" s="353" t="s">
        <v>61</v>
      </c>
      <c r="C13" s="354"/>
      <c r="D13" s="354"/>
      <c r="E13" s="354"/>
      <c r="F13" s="355"/>
      <c r="L13" s="182" t="s">
        <v>193</v>
      </c>
      <c r="M13" s="321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25">
      <c r="B14" s="151" t="s">
        <v>62</v>
      </c>
      <c r="C14" s="378" t="s">
        <v>70</v>
      </c>
      <c r="D14" s="379"/>
      <c r="E14" s="151" t="s">
        <v>67</v>
      </c>
      <c r="F14" s="274" t="s">
        <v>4</v>
      </c>
      <c r="L14" s="183" t="s">
        <v>191</v>
      </c>
      <c r="M14" s="322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25">
      <c r="B15" s="187" t="s">
        <v>61</v>
      </c>
      <c r="C15" s="188">
        <f>H51</f>
        <v>168.5126953125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1.6</v>
      </c>
      <c r="F15" s="168">
        <f>C15*E15</f>
        <v>269.62031250000001</v>
      </c>
      <c r="L15" s="191" t="s">
        <v>192</v>
      </c>
      <c r="M15" s="323">
        <f>+(M13/22)*M14</f>
        <v>0</v>
      </c>
      <c r="N15" s="137"/>
      <c r="O15" s="137"/>
      <c r="T15" s="180"/>
      <c r="U15" s="181">
        <v>0</v>
      </c>
    </row>
    <row r="16" spans="1:29" ht="15.75" thickBot="1" x14ac:dyDescent="0.3">
      <c r="B16" s="162"/>
      <c r="C16" s="162"/>
      <c r="D16" s="163"/>
      <c r="E16" s="164"/>
      <c r="F16" s="192"/>
      <c r="L16" s="193" t="s">
        <v>194</v>
      </c>
      <c r="M16" s="324">
        <v>0</v>
      </c>
      <c r="P16" s="365" t="s">
        <v>221</v>
      </c>
      <c r="Q16" s="366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2">
      <c r="B17" s="166"/>
      <c r="C17" s="166"/>
      <c r="D17" s="166"/>
      <c r="E17" s="167" t="s">
        <v>2</v>
      </c>
      <c r="F17" s="168">
        <f>SUM(F15:F16)</f>
        <v>269.62031250000001</v>
      </c>
      <c r="L17" s="195" t="s">
        <v>191</v>
      </c>
      <c r="M17" s="325">
        <v>0</v>
      </c>
      <c r="N17" s="147"/>
      <c r="O17" s="147"/>
      <c r="P17" s="282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25">
      <c r="B18" s="166"/>
      <c r="C18" s="166"/>
      <c r="D18" s="166"/>
      <c r="E18" s="167" t="s">
        <v>1</v>
      </c>
      <c r="F18" s="169">
        <f>F17*G18</f>
        <v>32.354437500000003</v>
      </c>
      <c r="G18" s="302">
        <v>0.12</v>
      </c>
      <c r="L18" s="200" t="s">
        <v>192</v>
      </c>
      <c r="M18" s="330">
        <f>+(M16/22)*M17</f>
        <v>0</v>
      </c>
      <c r="P18" s="318" t="s">
        <v>13</v>
      </c>
      <c r="Q18" s="335">
        <f>((M34)+((M34)*Q27))*Q17</f>
        <v>286.34268209696978</v>
      </c>
      <c r="T18" s="203"/>
      <c r="U18" s="204">
        <v>0</v>
      </c>
    </row>
    <row r="19" spans="2:29" ht="13.5" thickBot="1" x14ac:dyDescent="0.25">
      <c r="B19" s="173"/>
      <c r="C19" s="166"/>
      <c r="D19" s="166"/>
      <c r="E19" s="174" t="s">
        <v>0</v>
      </c>
      <c r="F19" s="175">
        <f>SUM(F17:F18)</f>
        <v>301.97475000000003</v>
      </c>
      <c r="L19" s="205" t="s">
        <v>195</v>
      </c>
      <c r="M19" s="326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25">
      <c r="B20" s="206"/>
      <c r="C20" s="206"/>
      <c r="D20" s="206"/>
      <c r="E20" s="207"/>
      <c r="F20" s="208"/>
      <c r="L20" s="209" t="s">
        <v>191</v>
      </c>
      <c r="M20" s="327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.75" thickBot="1" x14ac:dyDescent="0.3">
      <c r="B21" s="206"/>
      <c r="C21" s="206"/>
      <c r="D21" s="206"/>
      <c r="E21" s="207"/>
      <c r="F21" s="208"/>
      <c r="L21" s="210" t="s">
        <v>192</v>
      </c>
      <c r="M21" s="331">
        <f>+(M19/22)*M20</f>
        <v>0</v>
      </c>
      <c r="P21" s="362" t="s">
        <v>11</v>
      </c>
      <c r="Q21" s="363"/>
    </row>
    <row r="22" spans="2:29" ht="13.5" thickBot="1" x14ac:dyDescent="0.25">
      <c r="B22" s="369"/>
      <c r="C22" s="369"/>
      <c r="D22" s="369"/>
      <c r="E22" s="369"/>
      <c r="F22" s="369"/>
      <c r="L22" s="185" t="s">
        <v>0</v>
      </c>
      <c r="M22" s="328">
        <f>+M18+M21+M15+M12</f>
        <v>1041.3753636363638</v>
      </c>
      <c r="P22" s="196" t="s">
        <v>12</v>
      </c>
      <c r="Q22" s="197">
        <v>0.13</v>
      </c>
    </row>
    <row r="23" spans="2:29" ht="15.75" thickBot="1" x14ac:dyDescent="0.3">
      <c r="B23" s="211" t="s">
        <v>72</v>
      </c>
      <c r="C23" s="275"/>
      <c r="D23" s="275"/>
      <c r="E23" s="275"/>
      <c r="F23" s="275"/>
      <c r="P23" s="201" t="s">
        <v>13</v>
      </c>
      <c r="Q23" s="202">
        <f>(M37+M38)*Q22</f>
        <v>300.27802595902233</v>
      </c>
    </row>
    <row r="24" spans="2:29" ht="13.5" thickBot="1" x14ac:dyDescent="0.25"/>
    <row r="25" spans="2:29" ht="15.75" thickBot="1" x14ac:dyDescent="0.3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65" t="s">
        <v>214</v>
      </c>
      <c r="M25" s="366"/>
      <c r="P25" s="217" t="s">
        <v>5</v>
      </c>
      <c r="Q25" s="218">
        <f>C7</f>
        <v>9000</v>
      </c>
      <c r="T25" s="185" t="s">
        <v>0</v>
      </c>
      <c r="U25" s="219">
        <f>SUM(U11:U18)</f>
        <v>0</v>
      </c>
    </row>
    <row r="26" spans="2:29" ht="13.5" thickBot="1" x14ac:dyDescent="0.2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2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194.38343999999998</v>
      </c>
      <c r="P27" s="217" t="s">
        <v>15</v>
      </c>
      <c r="Q27" s="227">
        <v>0.4</v>
      </c>
      <c r="T27" s="185"/>
    </row>
    <row r="28" spans="2:29" ht="13.5" thickBot="1" x14ac:dyDescent="0.2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2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7">
        <f>SUM(M26:M28)</f>
        <v>194.38343999999998</v>
      </c>
      <c r="P29" s="383" t="s">
        <v>206</v>
      </c>
      <c r="Q29" s="384"/>
    </row>
    <row r="30" spans="2:29" ht="13.5" thickBot="1" x14ac:dyDescent="0.2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36" t="s">
        <v>218</v>
      </c>
      <c r="Q30" s="337">
        <f>M22</f>
        <v>1041.3753636363638</v>
      </c>
    </row>
    <row r="31" spans="2:29" ht="15.75" thickBot="1" x14ac:dyDescent="0.3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64" t="s">
        <v>213</v>
      </c>
      <c r="M31" s="363"/>
      <c r="P31" s="295" t="s">
        <v>219</v>
      </c>
      <c r="Q31" s="296">
        <f>M29</f>
        <v>194.38343999999998</v>
      </c>
      <c r="T31" s="364" t="s">
        <v>7</v>
      </c>
      <c r="U31" s="370"/>
      <c r="V31" s="371"/>
    </row>
    <row r="32" spans="2:29" ht="13.5" thickBot="1" x14ac:dyDescent="0.2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16" t="s">
        <v>215</v>
      </c>
      <c r="M32" s="229">
        <f>SUM(M29+M22)</f>
        <v>1235.7588036363638</v>
      </c>
      <c r="P32" s="295" t="s">
        <v>8</v>
      </c>
      <c r="Q32" s="296">
        <f>M33</f>
        <v>127.77777777777777</v>
      </c>
      <c r="T32" s="372" t="s">
        <v>6</v>
      </c>
      <c r="U32" s="373"/>
      <c r="V32" s="139">
        <v>386</v>
      </c>
    </row>
    <row r="33" spans="2:22" ht="13.5" thickBot="1" x14ac:dyDescent="0.2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95" t="s">
        <v>223</v>
      </c>
      <c r="Q33" s="296">
        <f>Q18</f>
        <v>286.34268209696978</v>
      </c>
      <c r="T33" s="282" t="s">
        <v>198</v>
      </c>
      <c r="U33" s="283">
        <v>12</v>
      </c>
      <c r="V33" s="284">
        <f>$V$32/U33</f>
        <v>32.166666666666664</v>
      </c>
    </row>
    <row r="34" spans="2:22" ht="15.75" thickBot="1" x14ac:dyDescent="0.3">
      <c r="B34" s="232"/>
      <c r="L34" s="185" t="s">
        <v>0</v>
      </c>
      <c r="M34" s="334">
        <f>SUM(M32:M33)</f>
        <v>1363.5365814141417</v>
      </c>
      <c r="N34" s="333"/>
      <c r="T34" s="282" t="s">
        <v>199</v>
      </c>
      <c r="U34" s="283">
        <v>12</v>
      </c>
      <c r="V34" s="284">
        <f>(($V$32*U34)/U34)/U34</f>
        <v>32.166666666666664</v>
      </c>
    </row>
    <row r="35" spans="2:22" ht="13.5" thickBot="1" x14ac:dyDescent="0.25">
      <c r="P35" s="297" t="s">
        <v>207</v>
      </c>
      <c r="Q35" s="298">
        <f>SUM(Q30:Q34)</f>
        <v>1649.8792635111115</v>
      </c>
      <c r="T35" s="282" t="s">
        <v>200</v>
      </c>
      <c r="U35" s="283">
        <v>24</v>
      </c>
      <c r="V35" s="284">
        <f>(($V$32*U34)/U35)/12</f>
        <v>16.083333333333332</v>
      </c>
    </row>
    <row r="36" spans="2:22" ht="15.75" thickBot="1" x14ac:dyDescent="0.3">
      <c r="G36" s="233" t="s">
        <v>92</v>
      </c>
      <c r="H36" s="234">
        <f>C7</f>
        <v>9000</v>
      </c>
      <c r="L36" s="367" t="s">
        <v>196</v>
      </c>
      <c r="M36" s="368"/>
      <c r="T36" s="285" t="s">
        <v>201</v>
      </c>
      <c r="U36" s="286">
        <v>12</v>
      </c>
      <c r="V36" s="287">
        <f>(($V$32*U36)/U36)/U36</f>
        <v>32.166666666666664</v>
      </c>
    </row>
    <row r="37" spans="2:22" ht="13.5" thickBot="1" x14ac:dyDescent="0.25">
      <c r="G37" s="235" t="s">
        <v>89</v>
      </c>
      <c r="H37" s="236" t="s">
        <v>88</v>
      </c>
      <c r="L37" s="315" t="s">
        <v>220</v>
      </c>
      <c r="M37" s="229">
        <f>M34+Q18</f>
        <v>1649.8792635111115</v>
      </c>
      <c r="N37" s="237"/>
      <c r="O37" s="237"/>
      <c r="P37" s="299" t="s">
        <v>208</v>
      </c>
      <c r="Q37" s="300">
        <f>F7</f>
        <v>2596.1736510125261</v>
      </c>
      <c r="T37" s="288" t="s">
        <v>202</v>
      </c>
      <c r="U37" s="289">
        <v>0.1215</v>
      </c>
      <c r="V37" s="290">
        <f>(V32*U37)</f>
        <v>46.899000000000001</v>
      </c>
    </row>
    <row r="38" spans="2:22" ht="13.5" thickBot="1" x14ac:dyDescent="0.25">
      <c r="G38" s="235" t="s">
        <v>74</v>
      </c>
      <c r="H38" s="236" t="s">
        <v>77</v>
      </c>
      <c r="L38" s="230" t="s">
        <v>14</v>
      </c>
      <c r="M38" s="238">
        <f>M37*Q27</f>
        <v>659.95170540444462</v>
      </c>
      <c r="Q38" s="142"/>
      <c r="T38" s="381" t="s">
        <v>203</v>
      </c>
      <c r="U38" s="382"/>
      <c r="V38" s="149">
        <f>SUM(V33:V37)</f>
        <v>159.48233333333332</v>
      </c>
    </row>
    <row r="39" spans="2:22" ht="13.5" thickBot="1" x14ac:dyDescent="0.25">
      <c r="B39" s="239" t="s">
        <v>115</v>
      </c>
      <c r="C39" s="239" t="s">
        <v>119</v>
      </c>
      <c r="G39" s="235" t="s">
        <v>73</v>
      </c>
      <c r="H39" s="236" t="s">
        <v>82</v>
      </c>
      <c r="P39" s="340" t="s">
        <v>209</v>
      </c>
      <c r="Q39" s="341">
        <f>Q37-Q35</f>
        <v>946.29438750141458</v>
      </c>
      <c r="T39" s="372" t="s">
        <v>204</v>
      </c>
      <c r="U39" s="373"/>
      <c r="V39" s="291">
        <f>V32+V38</f>
        <v>545.48233333333337</v>
      </c>
    </row>
    <row r="40" spans="2:22" ht="15.75" thickBot="1" x14ac:dyDescent="0.3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8"/>
      <c r="Q40" s="339"/>
      <c r="T40" s="292" t="s">
        <v>205</v>
      </c>
      <c r="U40" s="293">
        <v>1</v>
      </c>
      <c r="V40" s="294">
        <f>V39*U40</f>
        <v>545.48233333333337</v>
      </c>
    </row>
    <row r="41" spans="2:22" ht="13.5" thickBot="1" x14ac:dyDescent="0.25">
      <c r="B41" s="223" t="s">
        <v>110</v>
      </c>
      <c r="C41" s="273">
        <v>1.6</v>
      </c>
      <c r="L41" s="242" t="s">
        <v>16</v>
      </c>
      <c r="M41" s="243">
        <f>(M37+Q18)/Q25</f>
        <v>0.21513577173423126</v>
      </c>
      <c r="P41" s="380" t="s">
        <v>224</v>
      </c>
      <c r="Q41" s="380"/>
    </row>
    <row r="42" spans="2:22" ht="13.5" thickBot="1" x14ac:dyDescent="0.25">
      <c r="B42" s="223" t="s">
        <v>111</v>
      </c>
      <c r="C42" s="273">
        <v>1.4</v>
      </c>
      <c r="G42" s="136" t="s">
        <v>100</v>
      </c>
      <c r="H42" s="244">
        <f>H36*H40</f>
        <v>74700</v>
      </c>
      <c r="I42" s="245" t="s">
        <v>99</v>
      </c>
      <c r="L42" s="242" t="s">
        <v>17</v>
      </c>
      <c r="M42" s="243">
        <f>(M37+M38+Q18)/Q25</f>
        <v>0.28846373900139177</v>
      </c>
      <c r="P42" s="295" t="s">
        <v>225</v>
      </c>
      <c r="Q42" s="301">
        <f>Q23</f>
        <v>300.27802595902233</v>
      </c>
    </row>
    <row r="43" spans="2:22" ht="13.5" thickBot="1" x14ac:dyDescent="0.2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2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3" t="s">
        <v>128</v>
      </c>
      <c r="L44" s="354"/>
      <c r="M44" s="354"/>
      <c r="N44" s="355"/>
      <c r="O44" s="275"/>
      <c r="P44" s="295" t="s">
        <v>210</v>
      </c>
      <c r="Q44" s="312">
        <f>(Q42*R44)/Q22</f>
        <v>69.294929067466683</v>
      </c>
      <c r="R44" s="314">
        <v>0.03</v>
      </c>
    </row>
    <row r="45" spans="2:22" ht="13.5" thickBot="1" x14ac:dyDescent="0.2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7"/>
      <c r="P45" s="295" t="s">
        <v>212</v>
      </c>
      <c r="Q45" s="313">
        <f>(Q42*R45)/Q22</f>
        <v>230.98309689155565</v>
      </c>
      <c r="R45" s="314">
        <v>0.1</v>
      </c>
    </row>
    <row r="46" spans="2:22" ht="15" x14ac:dyDescent="0.2">
      <c r="B46" s="223" t="s">
        <v>116</v>
      </c>
      <c r="C46" s="273">
        <v>0.6</v>
      </c>
      <c r="G46" s="136" t="s">
        <v>103</v>
      </c>
      <c r="H46" s="244">
        <f>(H42*H44)+H42</f>
        <v>78435</v>
      </c>
      <c r="I46" s="245" t="s">
        <v>99</v>
      </c>
      <c r="K46" s="356">
        <v>0</v>
      </c>
      <c r="L46" s="248" t="s">
        <v>120</v>
      </c>
      <c r="M46" s="359">
        <v>22000</v>
      </c>
      <c r="N46" s="359">
        <f>M46*K46</f>
        <v>0</v>
      </c>
      <c r="O46" s="308"/>
    </row>
    <row r="47" spans="2:22" ht="15.75" x14ac:dyDescent="0.25">
      <c r="B47" s="223" t="s">
        <v>118</v>
      </c>
      <c r="C47" s="273">
        <v>0.5</v>
      </c>
      <c r="G47" s="136" t="s">
        <v>104</v>
      </c>
      <c r="H47" s="249">
        <f>H46/H43</f>
        <v>76.5966796875</v>
      </c>
      <c r="I47" s="245" t="s">
        <v>106</v>
      </c>
      <c r="K47" s="357"/>
      <c r="L47" s="250" t="s">
        <v>121</v>
      </c>
      <c r="M47" s="360"/>
      <c r="N47" s="360"/>
      <c r="O47" s="308"/>
      <c r="P47" s="342" t="s">
        <v>211</v>
      </c>
      <c r="Q47" s="343">
        <f>Q39-Q42</f>
        <v>646.01636154239225</v>
      </c>
    </row>
    <row r="48" spans="2:22" ht="15" x14ac:dyDescent="0.2">
      <c r="B48" s="223" t="s">
        <v>117</v>
      </c>
      <c r="C48" s="273">
        <v>0.35</v>
      </c>
      <c r="G48" s="136" t="s">
        <v>105</v>
      </c>
      <c r="H48" s="244">
        <f>H46*I48</f>
        <v>7843.5</v>
      </c>
      <c r="I48" s="251">
        <v>0.1</v>
      </c>
      <c r="K48" s="357"/>
      <c r="L48" s="250" t="s">
        <v>122</v>
      </c>
      <c r="M48" s="360"/>
      <c r="N48" s="360"/>
      <c r="O48" s="308"/>
    </row>
    <row r="49" spans="7:15" ht="15" x14ac:dyDescent="0.2">
      <c r="G49" s="136" t="s">
        <v>107</v>
      </c>
      <c r="H49" s="252">
        <f>H48*12</f>
        <v>94122</v>
      </c>
      <c r="I49" s="245" t="s">
        <v>99</v>
      </c>
      <c r="K49" s="357"/>
      <c r="L49" s="250" t="s">
        <v>123</v>
      </c>
      <c r="M49" s="360"/>
      <c r="N49" s="360"/>
      <c r="O49" s="308"/>
    </row>
    <row r="50" spans="7:15" ht="15" x14ac:dyDescent="0.2">
      <c r="K50" s="357"/>
      <c r="L50" s="250" t="s">
        <v>124</v>
      </c>
      <c r="M50" s="360"/>
      <c r="N50" s="360"/>
      <c r="O50" s="308"/>
    </row>
    <row r="51" spans="7:15" ht="15.75" thickBot="1" x14ac:dyDescent="0.3">
      <c r="G51" s="253" t="s">
        <v>108</v>
      </c>
      <c r="H51" s="254">
        <f>(H46+H49)/H43</f>
        <v>168.5126953125</v>
      </c>
      <c r="I51" s="255" t="s">
        <v>106</v>
      </c>
      <c r="K51" s="358"/>
      <c r="L51" s="256" t="s">
        <v>125</v>
      </c>
      <c r="M51" s="361"/>
      <c r="N51" s="361"/>
      <c r="O51" s="308"/>
    </row>
    <row r="52" spans="7:15" ht="13.5" thickBot="1" x14ac:dyDescent="0.25">
      <c r="K52" s="257">
        <v>0</v>
      </c>
      <c r="L52" s="258" t="s">
        <v>126</v>
      </c>
      <c r="M52" s="259">
        <v>5000</v>
      </c>
      <c r="N52" s="259">
        <f>M52*K52</f>
        <v>0</v>
      </c>
      <c r="O52" s="309"/>
    </row>
    <row r="53" spans="7:15" ht="13.5" thickBot="1" x14ac:dyDescent="0.25">
      <c r="K53" s="257">
        <v>0</v>
      </c>
      <c r="L53" s="258" t="s">
        <v>127</v>
      </c>
      <c r="M53" s="259">
        <v>9900</v>
      </c>
      <c r="N53" s="259">
        <f>M53*K53</f>
        <v>0</v>
      </c>
      <c r="O53" s="309"/>
    </row>
    <row r="54" spans="7:15" ht="13.5" thickBot="1" x14ac:dyDescent="0.25">
      <c r="O54" s="310"/>
    </row>
    <row r="55" spans="7:15" ht="13.5" thickBot="1" x14ac:dyDescent="0.25">
      <c r="M55" s="151" t="s">
        <v>0</v>
      </c>
      <c r="N55" s="259">
        <f>SUM(N46:N53)</f>
        <v>0</v>
      </c>
      <c r="O55" s="309"/>
    </row>
    <row r="56" spans="7:15" x14ac:dyDescent="0.2">
      <c r="O56" s="310"/>
    </row>
    <row r="57" spans="7:15" ht="13.5" thickBot="1" x14ac:dyDescent="0.25">
      <c r="O57" s="310"/>
    </row>
    <row r="58" spans="7:15" ht="15" x14ac:dyDescent="0.25">
      <c r="K58" s="344" t="s">
        <v>130</v>
      </c>
      <c r="L58" s="345"/>
      <c r="M58" s="345"/>
      <c r="N58" s="346"/>
      <c r="O58" s="311"/>
    </row>
    <row r="59" spans="7:15" ht="15" x14ac:dyDescent="0.25">
      <c r="K59" s="347" t="s">
        <v>131</v>
      </c>
      <c r="L59" s="348"/>
      <c r="M59" s="348"/>
      <c r="N59" s="349"/>
      <c r="O59" s="311"/>
    </row>
    <row r="60" spans="7:15" ht="15.75" thickBot="1" x14ac:dyDescent="0.3">
      <c r="K60" s="350" t="s">
        <v>187</v>
      </c>
      <c r="L60" s="351"/>
      <c r="M60" s="351"/>
      <c r="N60" s="352"/>
      <c r="O60" s="311"/>
    </row>
    <row r="61" spans="7:15" ht="13.5" thickBot="1" x14ac:dyDescent="0.25">
      <c r="K61" s="247" t="s">
        <v>52</v>
      </c>
      <c r="L61" s="247" t="s">
        <v>132</v>
      </c>
      <c r="M61" s="247" t="s">
        <v>133</v>
      </c>
      <c r="N61" s="247" t="s">
        <v>134</v>
      </c>
      <c r="O61" s="307"/>
    </row>
    <row r="62" spans="7:15" x14ac:dyDescent="0.2">
      <c r="K62" s="277">
        <v>0</v>
      </c>
      <c r="L62" s="261" t="s">
        <v>135</v>
      </c>
      <c r="M62" s="276" t="s">
        <v>136</v>
      </c>
      <c r="N62" s="279">
        <v>0</v>
      </c>
      <c r="O62" s="303"/>
    </row>
    <row r="63" spans="7:15" x14ac:dyDescent="0.2">
      <c r="K63" s="277">
        <v>0</v>
      </c>
      <c r="L63" s="264" t="s">
        <v>137</v>
      </c>
      <c r="M63" s="277" t="s">
        <v>138</v>
      </c>
      <c r="N63" s="280">
        <v>859.68</v>
      </c>
      <c r="O63" s="303"/>
    </row>
    <row r="64" spans="7:15" x14ac:dyDescent="0.2">
      <c r="K64" s="277">
        <v>0</v>
      </c>
      <c r="L64" s="264" t="s">
        <v>139</v>
      </c>
      <c r="M64" s="277" t="s">
        <v>140</v>
      </c>
      <c r="N64" s="280">
        <v>15703</v>
      </c>
      <c r="O64" s="303"/>
    </row>
    <row r="65" spans="11:15" x14ac:dyDescent="0.2">
      <c r="K65" s="277">
        <v>0</v>
      </c>
      <c r="L65" s="264" t="s">
        <v>141</v>
      </c>
      <c r="M65" s="277" t="s">
        <v>142</v>
      </c>
      <c r="N65" s="280">
        <v>0</v>
      </c>
      <c r="O65" s="303"/>
    </row>
    <row r="66" spans="11:15" x14ac:dyDescent="0.2">
      <c r="K66" s="277">
        <v>0</v>
      </c>
      <c r="L66" s="264" t="s">
        <v>143</v>
      </c>
      <c r="M66" s="277" t="s">
        <v>144</v>
      </c>
      <c r="N66" s="280">
        <v>520.48</v>
      </c>
      <c r="O66" s="303"/>
    </row>
    <row r="67" spans="11:15" x14ac:dyDescent="0.2">
      <c r="K67" s="277">
        <v>0</v>
      </c>
      <c r="L67" s="264" t="s">
        <v>145</v>
      </c>
      <c r="M67" s="277" t="s">
        <v>146</v>
      </c>
      <c r="N67" s="280">
        <v>3920</v>
      </c>
      <c r="O67" s="303"/>
    </row>
    <row r="68" spans="11:15" ht="13.5" thickBot="1" x14ac:dyDescent="0.25">
      <c r="K68" s="278">
        <v>0</v>
      </c>
      <c r="L68" s="267" t="s">
        <v>147</v>
      </c>
      <c r="M68" s="278" t="s">
        <v>148</v>
      </c>
      <c r="N68" s="281">
        <v>595</v>
      </c>
      <c r="O68" s="303"/>
    </row>
    <row r="69" spans="11:15" ht="13.5" thickBot="1" x14ac:dyDescent="0.25"/>
    <row r="70" spans="11:15" ht="15.75" thickBot="1" x14ac:dyDescent="0.25">
      <c r="M70" s="269" t="s">
        <v>0</v>
      </c>
      <c r="N70" s="259">
        <f>SUM(N62:N69)</f>
        <v>21598.16</v>
      </c>
      <c r="O70" s="304"/>
    </row>
    <row r="71" spans="11:15" ht="13.5" thickBot="1" x14ac:dyDescent="0.25"/>
    <row r="72" spans="11:15" ht="15.75" thickBot="1" x14ac:dyDescent="0.25">
      <c r="M72" s="269" t="s">
        <v>188</v>
      </c>
      <c r="N72" s="270">
        <v>1000000</v>
      </c>
      <c r="O72" s="305"/>
    </row>
    <row r="73" spans="11:15" ht="13.5" thickBot="1" x14ac:dyDescent="0.25"/>
    <row r="74" spans="11:15" ht="15.75" thickBot="1" x14ac:dyDescent="0.25">
      <c r="M74" s="271" t="s">
        <v>189</v>
      </c>
      <c r="N74" s="272">
        <f>N70/N72</f>
        <v>2.1598159999999998E-2</v>
      </c>
      <c r="O74" s="306"/>
    </row>
  </sheetData>
  <mergeCells count="27"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  <mergeCell ref="T38:U38"/>
    <mergeCell ref="B13:F13"/>
    <mergeCell ref="C14:D14"/>
    <mergeCell ref="P16:Q16"/>
    <mergeCell ref="P21:Q21"/>
    <mergeCell ref="B22:F22"/>
    <mergeCell ref="L25:M25"/>
    <mergeCell ref="P29:Q29"/>
    <mergeCell ref="L31:M31"/>
    <mergeCell ref="T31:V31"/>
    <mergeCell ref="T32:U32"/>
    <mergeCell ref="L36:M36"/>
    <mergeCell ref="T10:U10"/>
    <mergeCell ref="L2:M2"/>
    <mergeCell ref="P2:Q2"/>
    <mergeCell ref="B5:F5"/>
    <mergeCell ref="C6:D6"/>
    <mergeCell ref="L9:M9"/>
  </mergeCells>
  <conditionalFormatting sqref="H40">
    <cfRule type="containsText" dxfId="1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8">
      <formula1>$D$31:$D$32</formula1>
    </dataValidation>
    <dataValidation type="list" allowBlank="1" showInputMessage="1" showErrorMessage="1" sqref="H39">
      <formula1>$H$29:$H$30</formula1>
    </dataValidation>
    <dataValidation type="list" allowBlank="1" showInputMessage="1" showErrorMessage="1" sqref="H37">
      <formula1>$C$26:$C$33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4"/>
  <sheetViews>
    <sheetView showGridLines="0" tabSelected="1" zoomScale="70" zoomScaleNormal="70" workbookViewId="0">
      <selection activeCell="B13" sqref="B13:F19"/>
    </sheetView>
  </sheetViews>
  <sheetFormatPr baseColWidth="10" defaultColWidth="8.7109375" defaultRowHeight="12.75" x14ac:dyDescent="0.2"/>
  <cols>
    <col min="1" max="1" width="7.85546875" style="130" customWidth="1"/>
    <col min="2" max="2" width="26.140625" style="130" bestFit="1" customWidth="1"/>
    <col min="3" max="3" width="9.85546875" style="130" bestFit="1" customWidth="1"/>
    <col min="4" max="4" width="10.140625" style="130" customWidth="1"/>
    <col min="5" max="5" width="16" style="130" bestFit="1" customWidth="1"/>
    <col min="6" max="6" width="20.5703125" style="130" customWidth="1"/>
    <col min="7" max="7" width="17.5703125" style="130" bestFit="1" customWidth="1"/>
    <col min="8" max="8" width="12.42578125" style="130" bestFit="1" customWidth="1"/>
    <col min="9" max="9" width="4.5703125" style="130" bestFit="1" customWidth="1"/>
    <col min="10" max="11" width="12" style="130" customWidth="1"/>
    <col min="12" max="12" width="43.5703125" style="130" customWidth="1"/>
    <col min="13" max="13" width="22.42578125" style="130" bestFit="1" customWidth="1"/>
    <col min="14" max="14" width="11" style="130" bestFit="1" customWidth="1"/>
    <col min="15" max="15" width="11" style="130" customWidth="1"/>
    <col min="16" max="16" width="34.85546875" style="130" customWidth="1"/>
    <col min="17" max="17" width="25.28515625" style="130" customWidth="1"/>
    <col min="18" max="18" width="5.42578125" style="130" bestFit="1" customWidth="1"/>
    <col min="19" max="19" width="10.42578125" style="130" customWidth="1"/>
    <col min="20" max="20" width="19.42578125" style="130" customWidth="1"/>
    <col min="21" max="21" width="17.7109375" style="130" bestFit="1" customWidth="1"/>
    <col min="22" max="22" width="13.5703125" style="130" bestFit="1" customWidth="1"/>
    <col min="23" max="23" width="12.85546875" style="130" customWidth="1"/>
    <col min="24" max="24" width="13.140625" style="130" customWidth="1"/>
    <col min="25" max="26" width="8.7109375" style="130"/>
    <col min="27" max="27" width="9.7109375" style="130" customWidth="1"/>
    <col min="28" max="16384" width="8.7109375" style="130"/>
  </cols>
  <sheetData>
    <row r="1" spans="1:29" ht="13.5" thickBot="1" x14ac:dyDescent="0.25">
      <c r="U1" s="131" t="s">
        <v>21</v>
      </c>
      <c r="V1" s="131" t="s">
        <v>22</v>
      </c>
      <c r="W1" s="131" t="s">
        <v>23</v>
      </c>
      <c r="X1" s="131" t="s">
        <v>24</v>
      </c>
      <c r="Y1" s="131" t="s">
        <v>0</v>
      </c>
    </row>
    <row r="2" spans="1:29" ht="15.75" thickBot="1" x14ac:dyDescent="0.3">
      <c r="B2" s="132"/>
      <c r="C2" s="132"/>
      <c r="D2" s="133"/>
      <c r="E2" s="134"/>
      <c r="F2" s="135"/>
      <c r="L2" s="365" t="s">
        <v>7</v>
      </c>
      <c r="M2" s="366"/>
      <c r="P2" s="374" t="s">
        <v>8</v>
      </c>
      <c r="Q2" s="375"/>
      <c r="T2" s="130" t="s">
        <v>20</v>
      </c>
      <c r="U2" s="136">
        <v>800</v>
      </c>
      <c r="V2" s="136">
        <v>36</v>
      </c>
      <c r="W2" s="136">
        <v>1</v>
      </c>
      <c r="X2" s="136">
        <f>V2</f>
        <v>36</v>
      </c>
      <c r="Y2" s="136">
        <f>U2/36*V2*W2</f>
        <v>800</v>
      </c>
    </row>
    <row r="3" spans="1:29" x14ac:dyDescent="0.2">
      <c r="G3" s="137"/>
      <c r="L3" s="138" t="s">
        <v>6</v>
      </c>
      <c r="M3" s="139">
        <f>V32</f>
        <v>386</v>
      </c>
      <c r="P3" s="140" t="s">
        <v>63</v>
      </c>
      <c r="Q3" s="141">
        <f>(2000/36)</f>
        <v>55.555555555555557</v>
      </c>
    </row>
    <row r="4" spans="1:29" ht="13.5" thickBot="1" x14ac:dyDescent="0.25">
      <c r="G4" s="142"/>
      <c r="H4" s="137"/>
      <c r="I4" s="137"/>
      <c r="J4" s="137"/>
      <c r="K4" s="137"/>
      <c r="L4" s="143" t="s">
        <v>9</v>
      </c>
      <c r="M4" s="144"/>
      <c r="P4" s="145" t="s">
        <v>197</v>
      </c>
      <c r="Q4" s="146">
        <f>(800/36)</f>
        <v>22.222222222222221</v>
      </c>
      <c r="U4" s="131" t="s">
        <v>26</v>
      </c>
      <c r="V4" s="131" t="s">
        <v>27</v>
      </c>
      <c r="W4" s="131" t="s">
        <v>22</v>
      </c>
      <c r="X4" s="131" t="s">
        <v>0</v>
      </c>
    </row>
    <row r="5" spans="1:29" ht="13.5" thickBot="1" x14ac:dyDescent="0.25">
      <c r="B5" s="353" t="s">
        <v>71</v>
      </c>
      <c r="C5" s="354"/>
      <c r="D5" s="354"/>
      <c r="E5" s="354"/>
      <c r="F5" s="355"/>
      <c r="G5" s="147"/>
      <c r="L5" s="148" t="s">
        <v>10</v>
      </c>
      <c r="M5" s="149">
        <f>V38</f>
        <v>159.48233333333332</v>
      </c>
      <c r="P5" s="145" t="s">
        <v>18</v>
      </c>
      <c r="Q5" s="146">
        <v>50</v>
      </c>
      <c r="T5" s="130" t="s">
        <v>25</v>
      </c>
      <c r="U5" s="136">
        <v>600</v>
      </c>
      <c r="V5" s="136">
        <f>W2</f>
        <v>1</v>
      </c>
      <c r="W5" s="136">
        <f>X2</f>
        <v>36</v>
      </c>
      <c r="X5" s="150">
        <f>U5/36*V5*W5</f>
        <v>600</v>
      </c>
    </row>
    <row r="6" spans="1:29" ht="15.75" customHeight="1" thickBot="1" x14ac:dyDescent="0.25">
      <c r="B6" s="151" t="s">
        <v>3</v>
      </c>
      <c r="C6" s="378" t="s">
        <v>66</v>
      </c>
      <c r="D6" s="379"/>
      <c r="E6" s="151" t="s">
        <v>67</v>
      </c>
      <c r="F6" s="274" t="s">
        <v>4</v>
      </c>
      <c r="L6" s="153" t="s">
        <v>156</v>
      </c>
      <c r="M6" s="154">
        <f>V5</f>
        <v>1</v>
      </c>
      <c r="P6" s="145"/>
      <c r="Q6" s="146"/>
      <c r="W6" s="155"/>
    </row>
    <row r="7" spans="1:29" ht="13.5" thickBot="1" x14ac:dyDescent="0.25">
      <c r="A7" s="147"/>
      <c r="B7" s="156" t="s">
        <v>65</v>
      </c>
      <c r="C7" s="157">
        <f>'Analisis Costo carpetas Bennett'!C7+'Analisis Costo carpetas manila'!C7</f>
        <v>59400</v>
      </c>
      <c r="D7" s="158" t="s">
        <v>68</v>
      </c>
      <c r="E7" s="159">
        <f>M42</f>
        <v>7.3830194322549392E-2</v>
      </c>
      <c r="F7" s="160">
        <f>E7*C7</f>
        <v>4385.5135427594341</v>
      </c>
      <c r="L7" s="318" t="s">
        <v>216</v>
      </c>
      <c r="M7" s="319">
        <f>SUM(M3:M5)*M6</f>
        <v>545.48233333333337</v>
      </c>
      <c r="P7" s="145"/>
      <c r="Q7" s="146"/>
    </row>
    <row r="8" spans="1:29" ht="13.5" thickBot="1" x14ac:dyDescent="0.25">
      <c r="B8" s="162" t="s">
        <v>64</v>
      </c>
      <c r="C8" s="162"/>
      <c r="D8" s="163"/>
      <c r="E8" s="164"/>
      <c r="F8" s="165"/>
      <c r="P8" s="145"/>
      <c r="Q8" s="146"/>
    </row>
    <row r="9" spans="1:29" ht="15.75" thickBot="1" x14ac:dyDescent="0.3">
      <c r="B9" s="166"/>
      <c r="C9" s="166"/>
      <c r="D9" s="166"/>
      <c r="E9" s="167" t="s">
        <v>2</v>
      </c>
      <c r="F9" s="168">
        <f>SUM(F7:F8)</f>
        <v>4385.5135427594341</v>
      </c>
      <c r="L9" s="376" t="s">
        <v>217</v>
      </c>
      <c r="M9" s="377"/>
      <c r="P9" s="145"/>
      <c r="Q9" s="146"/>
    </row>
    <row r="10" spans="1:29" ht="15.75" thickBot="1" x14ac:dyDescent="0.3">
      <c r="B10" s="166"/>
      <c r="C10" s="166"/>
      <c r="D10" s="166"/>
      <c r="E10" s="167" t="s">
        <v>1</v>
      </c>
      <c r="F10" s="169">
        <f>F9*G10</f>
        <v>526.26162513113206</v>
      </c>
      <c r="G10" s="302">
        <v>0.12</v>
      </c>
      <c r="L10" s="170" t="s">
        <v>190</v>
      </c>
      <c r="M10" s="320">
        <f>M7</f>
        <v>545.48233333333337</v>
      </c>
      <c r="N10" s="171"/>
      <c r="O10" s="171"/>
      <c r="P10" s="145"/>
      <c r="Q10" s="146"/>
      <c r="R10" s="147"/>
      <c r="S10" s="147"/>
      <c r="T10" s="362" t="s">
        <v>19</v>
      </c>
      <c r="U10" s="363"/>
      <c r="W10" s="131" t="s">
        <v>28</v>
      </c>
      <c r="X10" s="131" t="s">
        <v>29</v>
      </c>
      <c r="Y10" s="131" t="s">
        <v>30</v>
      </c>
      <c r="Z10" s="131" t="s">
        <v>0</v>
      </c>
      <c r="AA10" s="172" t="s">
        <v>37</v>
      </c>
      <c r="AB10" s="172" t="s">
        <v>0</v>
      </c>
    </row>
    <row r="11" spans="1:29" ht="13.5" thickBot="1" x14ac:dyDescent="0.25">
      <c r="B11" s="173"/>
      <c r="C11" s="166"/>
      <c r="D11" s="166"/>
      <c r="E11" s="174" t="s">
        <v>0</v>
      </c>
      <c r="F11" s="175">
        <f>SUM(F9:F10)</f>
        <v>4911.7751678905661</v>
      </c>
      <c r="L11" s="176" t="s">
        <v>191</v>
      </c>
      <c r="M11" s="332">
        <f>W5</f>
        <v>36</v>
      </c>
      <c r="N11" s="171"/>
      <c r="O11" s="171"/>
      <c r="P11" s="145"/>
      <c r="Q11" s="146"/>
      <c r="T11" s="140"/>
      <c r="U11" s="177">
        <v>0</v>
      </c>
      <c r="W11" s="136"/>
      <c r="X11" s="136"/>
      <c r="Y11" s="136"/>
      <c r="Z11" s="136"/>
      <c r="AA11" s="136"/>
      <c r="AB11" s="178"/>
    </row>
    <row r="12" spans="1:29" ht="13.5" thickBot="1" x14ac:dyDescent="0.25">
      <c r="C12" s="137"/>
      <c r="D12" s="137"/>
      <c r="L12" s="179" t="s">
        <v>192</v>
      </c>
      <c r="M12" s="329">
        <f>+(M10/22)*M11</f>
        <v>892.60745454545463</v>
      </c>
      <c r="N12" s="171"/>
      <c r="O12" s="171"/>
      <c r="P12" s="145"/>
      <c r="Q12" s="146"/>
      <c r="T12" s="180"/>
      <c r="U12" s="181">
        <v>0</v>
      </c>
    </row>
    <row r="13" spans="1:29" ht="13.5" thickBot="1" x14ac:dyDescent="0.25">
      <c r="B13" s="353" t="s">
        <v>61</v>
      </c>
      <c r="C13" s="354"/>
      <c r="D13" s="354"/>
      <c r="E13" s="354"/>
      <c r="F13" s="355"/>
      <c r="L13" s="182" t="s">
        <v>193</v>
      </c>
      <c r="M13" s="321">
        <v>0</v>
      </c>
      <c r="N13" s="171"/>
      <c r="O13" s="171"/>
      <c r="P13" s="161"/>
      <c r="Q13" s="146"/>
      <c r="T13" s="180"/>
      <c r="U13" s="181">
        <v>0</v>
      </c>
      <c r="W13" s="131" t="s">
        <v>31</v>
      </c>
      <c r="X13" s="131" t="s">
        <v>29</v>
      </c>
      <c r="Y13" s="131" t="s">
        <v>32</v>
      </c>
      <c r="Z13" s="131" t="s">
        <v>30</v>
      </c>
      <c r="AA13" s="131" t="s">
        <v>0</v>
      </c>
      <c r="AB13" s="172" t="s">
        <v>38</v>
      </c>
      <c r="AC13" s="172" t="s">
        <v>0</v>
      </c>
    </row>
    <row r="14" spans="1:29" ht="15.75" customHeight="1" thickBot="1" x14ac:dyDescent="0.25">
      <c r="B14" s="151" t="s">
        <v>62</v>
      </c>
      <c r="C14" s="378" t="s">
        <v>70</v>
      </c>
      <c r="D14" s="379"/>
      <c r="E14" s="151" t="s">
        <v>67</v>
      </c>
      <c r="F14" s="274" t="s">
        <v>4</v>
      </c>
      <c r="L14" s="183" t="s">
        <v>191</v>
      </c>
      <c r="M14" s="322">
        <v>0</v>
      </c>
      <c r="N14" s="184"/>
      <c r="O14" s="184"/>
      <c r="P14" s="185" t="s">
        <v>0</v>
      </c>
      <c r="Q14" s="186">
        <f>SUM(Q3:Q4:Q5)+U25</f>
        <v>127.77777777777777</v>
      </c>
      <c r="T14" s="180"/>
      <c r="U14" s="181">
        <v>0</v>
      </c>
      <c r="W14" s="136"/>
      <c r="X14" s="136"/>
      <c r="Y14" s="136"/>
      <c r="Z14" s="136"/>
      <c r="AA14" s="136"/>
      <c r="AB14" s="178"/>
      <c r="AC14" s="178"/>
    </row>
    <row r="15" spans="1:29" ht="13.5" thickBot="1" x14ac:dyDescent="0.25">
      <c r="B15" s="187" t="s">
        <v>61</v>
      </c>
      <c r="C15" s="188">
        <f>H51</f>
        <v>1112.1837890625002</v>
      </c>
      <c r="D15" s="189" t="s">
        <v>69</v>
      </c>
      <c r="E15" s="190">
        <f>IF(C15&lt;=100,C40,IF(AND(C15&gt;100,C15&lt;=200),C41,IF(AND(C15&gt;200,C15&lt;=300),C42,IF(AND(C15&gt;300,C15&lt;=400),C43,IF(AND(C15&gt;400,C15&lt;=500),C44,IF(AND(C15&gt;500,C15&lt;=1000),C45,IF(AND(C15&gt;1000,C15&lt;=2000),C46,IF(AND(C15&gt;2000,C15&lt;=10000),C47,IF(C15&gt;10000,C48)))))))))</f>
        <v>0.6</v>
      </c>
      <c r="F15" s="168">
        <f>C15*E15</f>
        <v>667.31027343750009</v>
      </c>
      <c r="L15" s="191" t="s">
        <v>192</v>
      </c>
      <c r="M15" s="323">
        <f>+(M13/22)*M14</f>
        <v>0</v>
      </c>
      <c r="N15" s="137"/>
      <c r="O15" s="137"/>
      <c r="T15" s="180"/>
      <c r="U15" s="181">
        <v>0</v>
      </c>
    </row>
    <row r="16" spans="1:29" ht="15.75" thickBot="1" x14ac:dyDescent="0.3">
      <c r="B16" s="162"/>
      <c r="C16" s="162"/>
      <c r="D16" s="163"/>
      <c r="E16" s="164"/>
      <c r="F16" s="192"/>
      <c r="L16" s="193" t="s">
        <v>194</v>
      </c>
      <c r="M16" s="324">
        <v>0</v>
      </c>
      <c r="P16" s="365" t="s">
        <v>221</v>
      </c>
      <c r="Q16" s="366"/>
      <c r="T16" s="180"/>
      <c r="U16" s="181">
        <v>0</v>
      </c>
      <c r="W16" s="131" t="s">
        <v>33</v>
      </c>
      <c r="X16" s="131" t="s">
        <v>29</v>
      </c>
      <c r="Y16" s="194" t="s">
        <v>34</v>
      </c>
      <c r="Z16" s="131" t="s">
        <v>36</v>
      </c>
      <c r="AA16" s="172" t="s">
        <v>35</v>
      </c>
      <c r="AB16" s="172" t="s">
        <v>38</v>
      </c>
      <c r="AC16" s="172" t="s">
        <v>0</v>
      </c>
    </row>
    <row r="17" spans="2:29" x14ac:dyDescent="0.2">
      <c r="B17" s="166"/>
      <c r="C17" s="166"/>
      <c r="D17" s="166"/>
      <c r="E17" s="167" t="s">
        <v>2</v>
      </c>
      <c r="F17" s="168">
        <f>SUM(F15:F16)</f>
        <v>667.31027343750009</v>
      </c>
      <c r="L17" s="195" t="s">
        <v>191</v>
      </c>
      <c r="M17" s="325">
        <v>0</v>
      </c>
      <c r="N17" s="147"/>
      <c r="O17" s="147"/>
      <c r="P17" s="282" t="s">
        <v>222</v>
      </c>
      <c r="Q17" s="197">
        <v>0.15</v>
      </c>
      <c r="T17" s="180"/>
      <c r="U17" s="181">
        <v>0</v>
      </c>
      <c r="W17" s="136"/>
      <c r="X17" s="198"/>
      <c r="Y17" s="198"/>
      <c r="Z17" s="198"/>
      <c r="AA17" s="198"/>
      <c r="AB17" s="199"/>
      <c r="AC17" s="178">
        <f>AA17*AB17</f>
        <v>0</v>
      </c>
    </row>
    <row r="18" spans="2:29" ht="13.5" thickBot="1" x14ac:dyDescent="0.25">
      <c r="B18" s="166"/>
      <c r="C18" s="166"/>
      <c r="D18" s="166"/>
      <c r="E18" s="167" t="s">
        <v>1</v>
      </c>
      <c r="F18" s="169">
        <f>F17*G18</f>
        <v>80.077232812500014</v>
      </c>
      <c r="G18" s="302">
        <v>0.12</v>
      </c>
      <c r="L18" s="200" t="s">
        <v>192</v>
      </c>
      <c r="M18" s="330">
        <f>+(M16/22)*M17</f>
        <v>0</v>
      </c>
      <c r="P18" s="318" t="s">
        <v>13</v>
      </c>
      <c r="Q18" s="335">
        <f>((M34)+((M34)*Q27))*Q17</f>
        <v>483.69634662787871</v>
      </c>
      <c r="T18" s="203"/>
      <c r="U18" s="204">
        <v>0</v>
      </c>
    </row>
    <row r="19" spans="2:29" ht="13.5" thickBot="1" x14ac:dyDescent="0.25">
      <c r="B19" s="173"/>
      <c r="C19" s="166"/>
      <c r="D19" s="166"/>
      <c r="E19" s="174" t="s">
        <v>0</v>
      </c>
      <c r="F19" s="175">
        <f>SUM(F17:F18)</f>
        <v>747.38750625000011</v>
      </c>
      <c r="L19" s="205" t="s">
        <v>195</v>
      </c>
      <c r="M19" s="326">
        <v>0</v>
      </c>
      <c r="W19" s="131" t="s">
        <v>33</v>
      </c>
      <c r="X19" s="131" t="s">
        <v>29</v>
      </c>
      <c r="Y19" s="194" t="s">
        <v>34</v>
      </c>
      <c r="Z19" s="131" t="s">
        <v>36</v>
      </c>
      <c r="AA19" s="172" t="s">
        <v>35</v>
      </c>
      <c r="AB19" s="172" t="s">
        <v>38</v>
      </c>
      <c r="AC19" s="172" t="s">
        <v>0</v>
      </c>
    </row>
    <row r="20" spans="2:29" ht="13.5" thickBot="1" x14ac:dyDescent="0.25">
      <c r="B20" s="206"/>
      <c r="C20" s="206"/>
      <c r="D20" s="206"/>
      <c r="E20" s="207"/>
      <c r="F20" s="208"/>
      <c r="L20" s="209" t="s">
        <v>191</v>
      </c>
      <c r="M20" s="327">
        <v>0</v>
      </c>
      <c r="W20" s="136"/>
      <c r="X20" s="198"/>
      <c r="Y20" s="198"/>
      <c r="Z20" s="198"/>
      <c r="AA20" s="198"/>
      <c r="AB20" s="199"/>
      <c r="AC20" s="178">
        <f>AA20*AB20</f>
        <v>0</v>
      </c>
    </row>
    <row r="21" spans="2:29" ht="15.75" thickBot="1" x14ac:dyDescent="0.3">
      <c r="B21" s="206"/>
      <c r="C21" s="206"/>
      <c r="D21" s="206"/>
      <c r="E21" s="207"/>
      <c r="F21" s="208"/>
      <c r="L21" s="210" t="s">
        <v>192</v>
      </c>
      <c r="M21" s="331">
        <f>+(M19/22)*M20</f>
        <v>0</v>
      </c>
      <c r="P21" s="362" t="s">
        <v>11</v>
      </c>
      <c r="Q21" s="363"/>
    </row>
    <row r="22" spans="2:29" ht="13.5" thickBot="1" x14ac:dyDescent="0.25">
      <c r="B22" s="369"/>
      <c r="C22" s="369"/>
      <c r="D22" s="369"/>
      <c r="E22" s="369"/>
      <c r="F22" s="369"/>
      <c r="L22" s="185" t="s">
        <v>0</v>
      </c>
      <c r="M22" s="328">
        <f>+M18+M21+M15+M12</f>
        <v>892.60745454545463</v>
      </c>
      <c r="P22" s="196" t="s">
        <v>12</v>
      </c>
      <c r="Q22" s="197">
        <v>0.13</v>
      </c>
    </row>
    <row r="23" spans="2:29" ht="15.75" thickBot="1" x14ac:dyDescent="0.3">
      <c r="B23" s="211" t="s">
        <v>72</v>
      </c>
      <c r="C23" s="275"/>
      <c r="D23" s="275"/>
      <c r="E23" s="275"/>
      <c r="F23" s="275"/>
      <c r="P23" s="201" t="s">
        <v>13</v>
      </c>
      <c r="Q23" s="202">
        <f>(M37+M38)*Q22</f>
        <v>507.23623549710226</v>
      </c>
    </row>
    <row r="24" spans="2:29" ht="13.5" thickBot="1" x14ac:dyDescent="0.25"/>
    <row r="25" spans="2:29" ht="15.75" thickBot="1" x14ac:dyDescent="0.3">
      <c r="B25" s="213" t="s">
        <v>62</v>
      </c>
      <c r="C25" s="214" t="s">
        <v>89</v>
      </c>
      <c r="D25" s="214" t="s">
        <v>74</v>
      </c>
      <c r="E25" s="215" t="s">
        <v>93</v>
      </c>
      <c r="F25" s="216" t="s">
        <v>75</v>
      </c>
      <c r="G25" s="215" t="s">
        <v>84</v>
      </c>
      <c r="H25" s="214" t="s">
        <v>73</v>
      </c>
      <c r="L25" s="365" t="s">
        <v>214</v>
      </c>
      <c r="M25" s="366"/>
      <c r="P25" s="217" t="s">
        <v>5</v>
      </c>
      <c r="Q25" s="218">
        <f>C7</f>
        <v>59400</v>
      </c>
      <c r="T25" s="185" t="s">
        <v>0</v>
      </c>
      <c r="U25" s="219">
        <f>SUM(U11:U18)</f>
        <v>0</v>
      </c>
    </row>
    <row r="26" spans="2:29" ht="13.5" thickBot="1" x14ac:dyDescent="0.25">
      <c r="B26" s="220" t="s">
        <v>90</v>
      </c>
      <c r="C26" s="220" t="s">
        <v>86</v>
      </c>
      <c r="D26" s="220" t="s">
        <v>76</v>
      </c>
      <c r="E26" s="221">
        <v>14.7</v>
      </c>
      <c r="F26" s="222" t="s">
        <v>79</v>
      </c>
      <c r="G26" s="223" t="s">
        <v>80</v>
      </c>
      <c r="H26" s="220" t="s">
        <v>82</v>
      </c>
      <c r="L26" s="140" t="s">
        <v>129</v>
      </c>
      <c r="M26" s="224">
        <f>N55</f>
        <v>0</v>
      </c>
      <c r="P26" s="225"/>
    </row>
    <row r="27" spans="2:29" ht="13.5" thickBot="1" x14ac:dyDescent="0.25">
      <c r="B27" s="220" t="s">
        <v>90</v>
      </c>
      <c r="C27" s="220" t="s">
        <v>87</v>
      </c>
      <c r="D27" s="220" t="s">
        <v>76</v>
      </c>
      <c r="E27" s="221">
        <v>7.4</v>
      </c>
      <c r="F27" s="222" t="s">
        <v>79</v>
      </c>
      <c r="G27" s="223" t="s">
        <v>80</v>
      </c>
      <c r="H27" s="220" t="s">
        <v>82</v>
      </c>
      <c r="L27" s="180" t="s">
        <v>149</v>
      </c>
      <c r="M27" s="226">
        <f>N74*C7</f>
        <v>1282.9307039999999</v>
      </c>
      <c r="P27" s="217" t="s">
        <v>15</v>
      </c>
      <c r="Q27" s="227">
        <v>0.4</v>
      </c>
      <c r="T27" s="185"/>
    </row>
    <row r="28" spans="2:29" ht="13.5" thickBot="1" x14ac:dyDescent="0.25">
      <c r="B28" s="220" t="s">
        <v>90</v>
      </c>
      <c r="C28" s="220" t="s">
        <v>88</v>
      </c>
      <c r="D28" s="220" t="s">
        <v>77</v>
      </c>
      <c r="E28" s="221">
        <v>8.3000000000000007</v>
      </c>
      <c r="F28" s="222" t="s">
        <v>79</v>
      </c>
      <c r="G28" s="223" t="s">
        <v>80</v>
      </c>
      <c r="H28" s="220" t="s">
        <v>82</v>
      </c>
      <c r="L28" s="203"/>
      <c r="M28" s="228"/>
    </row>
    <row r="29" spans="2:29" ht="13.5" thickBot="1" x14ac:dyDescent="0.25">
      <c r="B29" s="220" t="s">
        <v>90</v>
      </c>
      <c r="C29" s="220" t="s">
        <v>94</v>
      </c>
      <c r="D29" s="220" t="s">
        <v>77</v>
      </c>
      <c r="E29" s="221">
        <v>11.8</v>
      </c>
      <c r="F29" s="222" t="s">
        <v>79</v>
      </c>
      <c r="G29" s="223" t="s">
        <v>80</v>
      </c>
      <c r="H29" s="220" t="s">
        <v>82</v>
      </c>
      <c r="L29" s="185" t="s">
        <v>0</v>
      </c>
      <c r="M29" s="317">
        <f>SUM(M26:M28)</f>
        <v>1282.9307039999999</v>
      </c>
      <c r="P29" s="383" t="s">
        <v>206</v>
      </c>
      <c r="Q29" s="384"/>
    </row>
    <row r="30" spans="2:29" ht="13.5" thickBot="1" x14ac:dyDescent="0.25">
      <c r="B30" s="220" t="s">
        <v>91</v>
      </c>
      <c r="C30" s="220" t="s">
        <v>95</v>
      </c>
      <c r="D30" s="220" t="s">
        <v>76</v>
      </c>
      <c r="E30" s="221">
        <v>44</v>
      </c>
      <c r="F30" s="222" t="s">
        <v>78</v>
      </c>
      <c r="G30" s="223" t="s">
        <v>81</v>
      </c>
      <c r="H30" s="220" t="s">
        <v>83</v>
      </c>
      <c r="P30" s="336" t="s">
        <v>218</v>
      </c>
      <c r="Q30" s="337">
        <f>M22</f>
        <v>892.60745454545463</v>
      </c>
    </row>
    <row r="31" spans="2:29" ht="15.75" thickBot="1" x14ac:dyDescent="0.3">
      <c r="B31" s="220" t="s">
        <v>91</v>
      </c>
      <c r="C31" s="220" t="s">
        <v>96</v>
      </c>
      <c r="D31" s="220" t="s">
        <v>76</v>
      </c>
      <c r="E31" s="221">
        <v>22</v>
      </c>
      <c r="F31" s="222" t="s">
        <v>78</v>
      </c>
      <c r="G31" s="223" t="s">
        <v>81</v>
      </c>
      <c r="H31" s="220" t="s">
        <v>83</v>
      </c>
      <c r="L31" s="364" t="s">
        <v>213</v>
      </c>
      <c r="M31" s="363"/>
      <c r="P31" s="295" t="s">
        <v>219</v>
      </c>
      <c r="Q31" s="296">
        <f>M29</f>
        <v>1282.9307039999999</v>
      </c>
      <c r="T31" s="364" t="s">
        <v>7</v>
      </c>
      <c r="U31" s="370"/>
      <c r="V31" s="371"/>
    </row>
    <row r="32" spans="2:29" ht="13.5" thickBot="1" x14ac:dyDescent="0.25">
      <c r="B32" s="220" t="s">
        <v>91</v>
      </c>
      <c r="C32" s="220" t="s">
        <v>97</v>
      </c>
      <c r="D32" s="220" t="s">
        <v>77</v>
      </c>
      <c r="E32" s="221">
        <v>24.9</v>
      </c>
      <c r="F32" s="222" t="s">
        <v>78</v>
      </c>
      <c r="G32" s="223" t="s">
        <v>81</v>
      </c>
      <c r="H32" s="220" t="s">
        <v>83</v>
      </c>
      <c r="L32" s="316" t="s">
        <v>215</v>
      </c>
      <c r="M32" s="229">
        <f>SUM(M29+M22)</f>
        <v>2175.5381585454543</v>
      </c>
      <c r="P32" s="295" t="s">
        <v>8</v>
      </c>
      <c r="Q32" s="296">
        <f>M33</f>
        <v>127.77777777777777</v>
      </c>
      <c r="T32" s="372" t="s">
        <v>6</v>
      </c>
      <c r="U32" s="373"/>
      <c r="V32" s="139">
        <v>386</v>
      </c>
    </row>
    <row r="33" spans="2:22" ht="13.5" thickBot="1" x14ac:dyDescent="0.25">
      <c r="B33" s="220" t="s">
        <v>91</v>
      </c>
      <c r="C33" s="220" t="s">
        <v>98</v>
      </c>
      <c r="D33" s="220" t="s">
        <v>77</v>
      </c>
      <c r="E33" s="221">
        <v>28.1</v>
      </c>
      <c r="F33" s="222" t="s">
        <v>78</v>
      </c>
      <c r="G33" s="223" t="s">
        <v>81</v>
      </c>
      <c r="H33" s="220" t="s">
        <v>83</v>
      </c>
      <c r="L33" s="230" t="str">
        <f>P2</f>
        <v>Recursos Varios</v>
      </c>
      <c r="M33" s="231">
        <f>Q14</f>
        <v>127.77777777777777</v>
      </c>
      <c r="P33" s="295" t="s">
        <v>223</v>
      </c>
      <c r="Q33" s="296">
        <f>Q18</f>
        <v>483.69634662787871</v>
      </c>
      <c r="T33" s="282" t="s">
        <v>198</v>
      </c>
      <c r="U33" s="283">
        <v>12</v>
      </c>
      <c r="V33" s="284">
        <f>$V$32/U33</f>
        <v>32.166666666666664</v>
      </c>
    </row>
    <row r="34" spans="2:22" ht="15.75" thickBot="1" x14ac:dyDescent="0.3">
      <c r="B34" s="232"/>
      <c r="L34" s="185" t="s">
        <v>0</v>
      </c>
      <c r="M34" s="334">
        <f>SUM(M32:M33)</f>
        <v>2303.3159363232321</v>
      </c>
      <c r="N34" s="333"/>
      <c r="T34" s="282" t="s">
        <v>199</v>
      </c>
      <c r="U34" s="283">
        <v>12</v>
      </c>
      <c r="V34" s="284">
        <f>(($V$32*U34)/U34)/U34</f>
        <v>32.166666666666664</v>
      </c>
    </row>
    <row r="35" spans="2:22" ht="13.5" thickBot="1" x14ac:dyDescent="0.25">
      <c r="P35" s="297" t="s">
        <v>207</v>
      </c>
      <c r="Q35" s="298">
        <f>SUM(Q30:Q34)</f>
        <v>2787.012282951111</v>
      </c>
      <c r="T35" s="282" t="s">
        <v>200</v>
      </c>
      <c r="U35" s="283">
        <v>24</v>
      </c>
      <c r="V35" s="284">
        <f>(($V$32*U34)/U35)/12</f>
        <v>16.083333333333332</v>
      </c>
    </row>
    <row r="36" spans="2:22" ht="15.75" thickBot="1" x14ac:dyDescent="0.3">
      <c r="G36" s="233" t="s">
        <v>92</v>
      </c>
      <c r="H36" s="234">
        <f>C7</f>
        <v>59400</v>
      </c>
      <c r="L36" s="367" t="s">
        <v>196</v>
      </c>
      <c r="M36" s="368"/>
      <c r="T36" s="285" t="s">
        <v>201</v>
      </c>
      <c r="U36" s="286">
        <v>12</v>
      </c>
      <c r="V36" s="287">
        <f>(($V$32*U36)/U36)/U36</f>
        <v>32.166666666666664</v>
      </c>
    </row>
    <row r="37" spans="2:22" ht="13.5" thickBot="1" x14ac:dyDescent="0.25">
      <c r="G37" s="235" t="s">
        <v>89</v>
      </c>
      <c r="H37" s="236" t="s">
        <v>88</v>
      </c>
      <c r="L37" s="315" t="s">
        <v>220</v>
      </c>
      <c r="M37" s="229">
        <f>M34+Q18</f>
        <v>2787.012282951111</v>
      </c>
      <c r="N37" s="237"/>
      <c r="O37" s="237"/>
      <c r="P37" s="299" t="s">
        <v>208</v>
      </c>
      <c r="Q37" s="300">
        <f>F7</f>
        <v>4385.5135427594341</v>
      </c>
      <c r="T37" s="288" t="s">
        <v>202</v>
      </c>
      <c r="U37" s="289">
        <v>0.1215</v>
      </c>
      <c r="V37" s="290">
        <f>(V32*U37)</f>
        <v>46.899000000000001</v>
      </c>
    </row>
    <row r="38" spans="2:22" ht="13.5" thickBot="1" x14ac:dyDescent="0.25">
      <c r="G38" s="235" t="s">
        <v>74</v>
      </c>
      <c r="H38" s="236" t="s">
        <v>77</v>
      </c>
      <c r="L38" s="230" t="s">
        <v>14</v>
      </c>
      <c r="M38" s="238">
        <f>M37*Q27</f>
        <v>1114.8049131804444</v>
      </c>
      <c r="Q38" s="142"/>
      <c r="T38" s="381" t="s">
        <v>203</v>
      </c>
      <c r="U38" s="382"/>
      <c r="V38" s="149">
        <f>SUM(V33:V37)</f>
        <v>159.48233333333332</v>
      </c>
    </row>
    <row r="39" spans="2:22" ht="13.5" thickBot="1" x14ac:dyDescent="0.25">
      <c r="B39" s="239" t="s">
        <v>115</v>
      </c>
      <c r="C39" s="239" t="s">
        <v>119</v>
      </c>
      <c r="G39" s="235" t="s">
        <v>73</v>
      </c>
      <c r="H39" s="236" t="s">
        <v>82</v>
      </c>
      <c r="P39" s="340" t="s">
        <v>209</v>
      </c>
      <c r="Q39" s="341">
        <f>Q37-Q35</f>
        <v>1598.5012598083231</v>
      </c>
      <c r="T39" s="372" t="s">
        <v>204</v>
      </c>
      <c r="U39" s="373"/>
      <c r="V39" s="291">
        <f>V32+V38</f>
        <v>545.48233333333337</v>
      </c>
    </row>
    <row r="40" spans="2:22" ht="15.75" thickBot="1" x14ac:dyDescent="0.3">
      <c r="B40" s="223" t="s">
        <v>109</v>
      </c>
      <c r="C40" s="273">
        <v>1.8</v>
      </c>
      <c r="G40" s="240" t="s">
        <v>85</v>
      </c>
      <c r="H40" s="241">
        <f>(IF(AND(H37=C26,H38="200 Dpi",H39="B/N"),E26,IF(AND(H37=C27,H38="200 Dpi",H39="B/N"),E27,IF(AND(H37=C28,H38="300 Dpi",H39="B/N"),E28,IF(AND(H37=C29,H38="300 Dpi",H39="B/N"),E29,IF(AND(H37=C30,H38="200 Dpi",H39="Color"),E30,IF(AND(H37=C31,H38="200 Dpi",H39="Color"),E31,IF(AND(H37=C32,H38="300 Dpi",H39="Color"),E32,IF(AND(H37=C33,H38="300 Dpi",H39="Color"),E33,"INCORRECTO")))))))))</f>
        <v>8.3000000000000007</v>
      </c>
      <c r="P40" s="338"/>
      <c r="Q40" s="339"/>
      <c r="T40" s="292" t="s">
        <v>205</v>
      </c>
      <c r="U40" s="293">
        <v>1</v>
      </c>
      <c r="V40" s="294">
        <f>V39*U40</f>
        <v>545.48233333333337</v>
      </c>
    </row>
    <row r="41" spans="2:22" ht="13.5" thickBot="1" x14ac:dyDescent="0.25">
      <c r="B41" s="223" t="s">
        <v>110</v>
      </c>
      <c r="C41" s="273">
        <v>1.6</v>
      </c>
      <c r="L41" s="242" t="s">
        <v>16</v>
      </c>
      <c r="M41" s="243">
        <f>(M37+Q18)/Q25</f>
        <v>5.5062434841397133E-2</v>
      </c>
      <c r="P41" s="380" t="s">
        <v>224</v>
      </c>
      <c r="Q41" s="380"/>
    </row>
    <row r="42" spans="2:22" ht="13.5" thickBot="1" x14ac:dyDescent="0.25">
      <c r="B42" s="223" t="s">
        <v>111</v>
      </c>
      <c r="C42" s="273">
        <v>1.4</v>
      </c>
      <c r="G42" s="136" t="s">
        <v>100</v>
      </c>
      <c r="H42" s="244">
        <f>H36*H40</f>
        <v>493020.00000000006</v>
      </c>
      <c r="I42" s="245" t="s">
        <v>99</v>
      </c>
      <c r="L42" s="242" t="s">
        <v>17</v>
      </c>
      <c r="M42" s="243">
        <f>(M37+M38+Q18)/Q25</f>
        <v>7.3830194322549392E-2</v>
      </c>
      <c r="P42" s="295" t="s">
        <v>225</v>
      </c>
      <c r="Q42" s="301">
        <f>Q23</f>
        <v>507.23623549710226</v>
      </c>
    </row>
    <row r="43" spans="2:22" ht="13.5" thickBot="1" x14ac:dyDescent="0.25">
      <c r="B43" s="223" t="s">
        <v>112</v>
      </c>
      <c r="C43" s="273">
        <v>1.2</v>
      </c>
      <c r="G43" s="136" t="s">
        <v>101</v>
      </c>
      <c r="H43" s="244">
        <v>1024</v>
      </c>
      <c r="I43" s="245" t="s">
        <v>99</v>
      </c>
    </row>
    <row r="44" spans="2:22" ht="13.5" thickBot="1" x14ac:dyDescent="0.25">
      <c r="B44" s="223" t="s">
        <v>113</v>
      </c>
      <c r="C44" s="273">
        <v>1</v>
      </c>
      <c r="G44" s="136" t="s">
        <v>102</v>
      </c>
      <c r="H44" s="246">
        <v>0.05</v>
      </c>
      <c r="I44" s="245"/>
      <c r="K44" s="353" t="s">
        <v>128</v>
      </c>
      <c r="L44" s="354"/>
      <c r="M44" s="354"/>
      <c r="N44" s="355"/>
      <c r="O44" s="275"/>
      <c r="P44" s="295" t="s">
        <v>210</v>
      </c>
      <c r="Q44" s="312">
        <f>(Q42*R44)/Q22</f>
        <v>117.05451588394666</v>
      </c>
      <c r="R44" s="314">
        <v>0.03</v>
      </c>
    </row>
    <row r="45" spans="2:22" ht="13.5" thickBot="1" x14ac:dyDescent="0.25">
      <c r="B45" s="223" t="s">
        <v>114</v>
      </c>
      <c r="C45" s="273">
        <v>0.8</v>
      </c>
      <c r="K45" s="247" t="s">
        <v>52</v>
      </c>
      <c r="L45" s="247" t="s">
        <v>62</v>
      </c>
      <c r="M45" s="247" t="s">
        <v>67</v>
      </c>
      <c r="N45" s="247" t="s">
        <v>0</v>
      </c>
      <c r="O45" s="307"/>
      <c r="P45" s="295" t="s">
        <v>212</v>
      </c>
      <c r="Q45" s="313">
        <f>(Q42*R45)/Q22</f>
        <v>390.18171961315556</v>
      </c>
      <c r="R45" s="314">
        <v>0.1</v>
      </c>
    </row>
    <row r="46" spans="2:22" ht="15" x14ac:dyDescent="0.2">
      <c r="B46" s="223" t="s">
        <v>116</v>
      </c>
      <c r="C46" s="273">
        <v>0.6</v>
      </c>
      <c r="G46" s="136" t="s">
        <v>103</v>
      </c>
      <c r="H46" s="244">
        <f>(H42*H44)+H42</f>
        <v>517671.00000000006</v>
      </c>
      <c r="I46" s="245" t="s">
        <v>99</v>
      </c>
      <c r="K46" s="356">
        <v>0</v>
      </c>
      <c r="L46" s="248" t="s">
        <v>120</v>
      </c>
      <c r="M46" s="359">
        <v>22000</v>
      </c>
      <c r="N46" s="359">
        <f>M46*K46</f>
        <v>0</v>
      </c>
      <c r="O46" s="308"/>
    </row>
    <row r="47" spans="2:22" ht="15.75" x14ac:dyDescent="0.25">
      <c r="B47" s="223" t="s">
        <v>118</v>
      </c>
      <c r="C47" s="273">
        <v>0.5</v>
      </c>
      <c r="G47" s="136" t="s">
        <v>104</v>
      </c>
      <c r="H47" s="249">
        <f>H46/H43</f>
        <v>505.53808593750006</v>
      </c>
      <c r="I47" s="245" t="s">
        <v>106</v>
      </c>
      <c r="K47" s="357"/>
      <c r="L47" s="250" t="s">
        <v>121</v>
      </c>
      <c r="M47" s="360"/>
      <c r="N47" s="360"/>
      <c r="O47" s="308"/>
      <c r="P47" s="342" t="s">
        <v>211</v>
      </c>
      <c r="Q47" s="343">
        <f>Q39-Q42</f>
        <v>1091.2650243112207</v>
      </c>
    </row>
    <row r="48" spans="2:22" ht="15" x14ac:dyDescent="0.2">
      <c r="B48" s="223" t="s">
        <v>117</v>
      </c>
      <c r="C48" s="273">
        <v>0.35</v>
      </c>
      <c r="G48" s="136" t="s">
        <v>105</v>
      </c>
      <c r="H48" s="244">
        <f>H46*I48</f>
        <v>51767.100000000006</v>
      </c>
      <c r="I48" s="251">
        <v>0.1</v>
      </c>
      <c r="K48" s="357"/>
      <c r="L48" s="250" t="s">
        <v>122</v>
      </c>
      <c r="M48" s="360"/>
      <c r="N48" s="360"/>
      <c r="O48" s="308"/>
    </row>
    <row r="49" spans="7:15" ht="15" x14ac:dyDescent="0.2">
      <c r="G49" s="136" t="s">
        <v>107</v>
      </c>
      <c r="H49" s="252">
        <f>H48*12</f>
        <v>621205.20000000007</v>
      </c>
      <c r="I49" s="245" t="s">
        <v>99</v>
      </c>
      <c r="K49" s="357"/>
      <c r="L49" s="250" t="s">
        <v>123</v>
      </c>
      <c r="M49" s="360"/>
      <c r="N49" s="360"/>
      <c r="O49" s="308"/>
    </row>
    <row r="50" spans="7:15" ht="15" x14ac:dyDescent="0.2">
      <c r="K50" s="357"/>
      <c r="L50" s="250" t="s">
        <v>124</v>
      </c>
      <c r="M50" s="360"/>
      <c r="N50" s="360"/>
      <c r="O50" s="308"/>
    </row>
    <row r="51" spans="7:15" ht="15.75" thickBot="1" x14ac:dyDescent="0.3">
      <c r="G51" s="253" t="s">
        <v>108</v>
      </c>
      <c r="H51" s="254">
        <f>(H46+H49)/H43</f>
        <v>1112.1837890625002</v>
      </c>
      <c r="I51" s="255" t="s">
        <v>106</v>
      </c>
      <c r="K51" s="358"/>
      <c r="L51" s="256" t="s">
        <v>125</v>
      </c>
      <c r="M51" s="361"/>
      <c r="N51" s="361"/>
      <c r="O51" s="308"/>
    </row>
    <row r="52" spans="7:15" ht="13.5" thickBot="1" x14ac:dyDescent="0.25">
      <c r="K52" s="257">
        <v>0</v>
      </c>
      <c r="L52" s="258" t="s">
        <v>126</v>
      </c>
      <c r="M52" s="259">
        <v>5000</v>
      </c>
      <c r="N52" s="259">
        <f>M52*K52</f>
        <v>0</v>
      </c>
      <c r="O52" s="309"/>
    </row>
    <row r="53" spans="7:15" ht="13.5" thickBot="1" x14ac:dyDescent="0.25">
      <c r="K53" s="257">
        <v>0</v>
      </c>
      <c r="L53" s="258" t="s">
        <v>127</v>
      </c>
      <c r="M53" s="259">
        <v>9900</v>
      </c>
      <c r="N53" s="259">
        <f>M53*K53</f>
        <v>0</v>
      </c>
      <c r="O53" s="309"/>
    </row>
    <row r="54" spans="7:15" ht="13.5" thickBot="1" x14ac:dyDescent="0.25">
      <c r="O54" s="310"/>
    </row>
    <row r="55" spans="7:15" ht="13.5" thickBot="1" x14ac:dyDescent="0.25">
      <c r="M55" s="151" t="s">
        <v>0</v>
      </c>
      <c r="N55" s="259">
        <f>SUM(N46:N53)</f>
        <v>0</v>
      </c>
      <c r="O55" s="309"/>
    </row>
    <row r="56" spans="7:15" x14ac:dyDescent="0.2">
      <c r="O56" s="310"/>
    </row>
    <row r="57" spans="7:15" ht="13.5" thickBot="1" x14ac:dyDescent="0.25">
      <c r="O57" s="310"/>
    </row>
    <row r="58" spans="7:15" ht="15" x14ac:dyDescent="0.25">
      <c r="K58" s="344" t="s">
        <v>130</v>
      </c>
      <c r="L58" s="345"/>
      <c r="M58" s="345"/>
      <c r="N58" s="346"/>
      <c r="O58" s="311"/>
    </row>
    <row r="59" spans="7:15" ht="15" x14ac:dyDescent="0.25">
      <c r="K59" s="347" t="s">
        <v>131</v>
      </c>
      <c r="L59" s="348"/>
      <c r="M59" s="348"/>
      <c r="N59" s="349"/>
      <c r="O59" s="311"/>
    </row>
    <row r="60" spans="7:15" ht="15.75" thickBot="1" x14ac:dyDescent="0.3">
      <c r="K60" s="350" t="s">
        <v>187</v>
      </c>
      <c r="L60" s="351"/>
      <c r="M60" s="351"/>
      <c r="N60" s="352"/>
      <c r="O60" s="311"/>
    </row>
    <row r="61" spans="7:15" ht="13.5" thickBot="1" x14ac:dyDescent="0.25">
      <c r="K61" s="247" t="s">
        <v>52</v>
      </c>
      <c r="L61" s="247" t="s">
        <v>132</v>
      </c>
      <c r="M61" s="247" t="s">
        <v>133</v>
      </c>
      <c r="N61" s="247" t="s">
        <v>134</v>
      </c>
      <c r="O61" s="307"/>
    </row>
    <row r="62" spans="7:15" x14ac:dyDescent="0.2">
      <c r="K62" s="277">
        <v>0</v>
      </c>
      <c r="L62" s="261" t="s">
        <v>135</v>
      </c>
      <c r="M62" s="276" t="s">
        <v>136</v>
      </c>
      <c r="N62" s="279">
        <v>0</v>
      </c>
      <c r="O62" s="303"/>
    </row>
    <row r="63" spans="7:15" x14ac:dyDescent="0.2">
      <c r="K63" s="277">
        <v>0</v>
      </c>
      <c r="L63" s="264" t="s">
        <v>137</v>
      </c>
      <c r="M63" s="277" t="s">
        <v>138</v>
      </c>
      <c r="N63" s="280">
        <v>859.68</v>
      </c>
      <c r="O63" s="303"/>
    </row>
    <row r="64" spans="7:15" x14ac:dyDescent="0.2">
      <c r="K64" s="277">
        <v>0</v>
      </c>
      <c r="L64" s="264" t="s">
        <v>139</v>
      </c>
      <c r="M64" s="277" t="s">
        <v>140</v>
      </c>
      <c r="N64" s="280">
        <v>15703</v>
      </c>
      <c r="O64" s="303"/>
    </row>
    <row r="65" spans="11:15" x14ac:dyDescent="0.2">
      <c r="K65" s="277">
        <v>0</v>
      </c>
      <c r="L65" s="264" t="s">
        <v>141</v>
      </c>
      <c r="M65" s="277" t="s">
        <v>142</v>
      </c>
      <c r="N65" s="280">
        <v>0</v>
      </c>
      <c r="O65" s="303"/>
    </row>
    <row r="66" spans="11:15" x14ac:dyDescent="0.2">
      <c r="K66" s="277">
        <v>0</v>
      </c>
      <c r="L66" s="264" t="s">
        <v>143</v>
      </c>
      <c r="M66" s="277" t="s">
        <v>144</v>
      </c>
      <c r="N66" s="280">
        <v>520.48</v>
      </c>
      <c r="O66" s="303"/>
    </row>
    <row r="67" spans="11:15" x14ac:dyDescent="0.2">
      <c r="K67" s="277">
        <v>0</v>
      </c>
      <c r="L67" s="264" t="s">
        <v>145</v>
      </c>
      <c r="M67" s="277" t="s">
        <v>146</v>
      </c>
      <c r="N67" s="280">
        <v>3920</v>
      </c>
      <c r="O67" s="303"/>
    </row>
    <row r="68" spans="11:15" ht="13.5" thickBot="1" x14ac:dyDescent="0.25">
      <c r="K68" s="278">
        <v>0</v>
      </c>
      <c r="L68" s="267" t="s">
        <v>147</v>
      </c>
      <c r="M68" s="278" t="s">
        <v>148</v>
      </c>
      <c r="N68" s="281">
        <v>595</v>
      </c>
      <c r="O68" s="303"/>
    </row>
    <row r="69" spans="11:15" ht="13.5" thickBot="1" x14ac:dyDescent="0.25"/>
    <row r="70" spans="11:15" ht="15.75" thickBot="1" x14ac:dyDescent="0.25">
      <c r="M70" s="269" t="s">
        <v>0</v>
      </c>
      <c r="N70" s="259">
        <f>SUM(N62:N69)</f>
        <v>21598.16</v>
      </c>
      <c r="O70" s="304"/>
    </row>
    <row r="71" spans="11:15" ht="13.5" thickBot="1" x14ac:dyDescent="0.25"/>
    <row r="72" spans="11:15" ht="15.75" thickBot="1" x14ac:dyDescent="0.25">
      <c r="M72" s="269" t="s">
        <v>188</v>
      </c>
      <c r="N72" s="270">
        <v>1000000</v>
      </c>
      <c r="O72" s="305"/>
    </row>
    <row r="73" spans="11:15" ht="13.5" thickBot="1" x14ac:dyDescent="0.25"/>
    <row r="74" spans="11:15" ht="15.75" thickBot="1" x14ac:dyDescent="0.25">
      <c r="M74" s="271" t="s">
        <v>189</v>
      </c>
      <c r="N74" s="272">
        <f>N70/N72</f>
        <v>2.1598159999999998E-2</v>
      </c>
      <c r="O74" s="306"/>
    </row>
  </sheetData>
  <mergeCells count="27">
    <mergeCell ref="K58:N58"/>
    <mergeCell ref="K59:N59"/>
    <mergeCell ref="K60:N60"/>
    <mergeCell ref="T39:U39"/>
    <mergeCell ref="P41:Q41"/>
    <mergeCell ref="K44:N44"/>
    <mergeCell ref="K46:K51"/>
    <mergeCell ref="M46:M51"/>
    <mergeCell ref="N46:N51"/>
    <mergeCell ref="T38:U38"/>
    <mergeCell ref="B13:F13"/>
    <mergeCell ref="C14:D14"/>
    <mergeCell ref="P16:Q16"/>
    <mergeCell ref="P21:Q21"/>
    <mergeCell ref="B22:F22"/>
    <mergeCell ref="L25:M25"/>
    <mergeCell ref="P29:Q29"/>
    <mergeCell ref="L31:M31"/>
    <mergeCell ref="T31:V31"/>
    <mergeCell ref="T32:U32"/>
    <mergeCell ref="L36:M36"/>
    <mergeCell ref="T10:U10"/>
    <mergeCell ref="L2:M2"/>
    <mergeCell ref="P2:Q2"/>
    <mergeCell ref="B5:F5"/>
    <mergeCell ref="C6:D6"/>
    <mergeCell ref="L9:M9"/>
  </mergeCells>
  <conditionalFormatting sqref="H40">
    <cfRule type="containsText" dxfId="0" priority="1" operator="containsText" text="INCORRECTO">
      <formula>NOT(ISERROR(SEARCH("INCORRECTO",H40)))</formula>
    </cfRule>
  </conditionalFormatting>
  <dataValidations count="3">
    <dataValidation type="list" allowBlank="1" showInputMessage="1" showErrorMessage="1" sqref="H37">
      <formula1>$C$26:$C$33</formula1>
    </dataValidation>
    <dataValidation type="list" allowBlank="1" showInputMessage="1" showErrorMessage="1" sqref="H39">
      <formula1>$H$29:$H$30</formula1>
    </dataValidation>
    <dataValidation type="list" allowBlank="1" showInputMessage="1" showErrorMessage="1" sqref="H38">
      <formula1>$D$31:$D$32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workbookViewId="0">
      <selection activeCell="D4" sqref="D4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385" t="s">
        <v>40</v>
      </c>
      <c r="D2" s="386"/>
      <c r="E2" s="386"/>
      <c r="F2" s="386"/>
      <c r="G2" s="387"/>
    </row>
    <row r="3" spans="3:18" ht="45.75" thickBot="1" x14ac:dyDescent="0.3">
      <c r="C3" s="8" t="s">
        <v>41</v>
      </c>
      <c r="D3" s="9" t="s">
        <v>42</v>
      </c>
      <c r="E3" s="8" t="s">
        <v>43</v>
      </c>
      <c r="F3" s="8" t="s">
        <v>44</v>
      </c>
      <c r="G3" s="10" t="s">
        <v>45</v>
      </c>
      <c r="J3" s="11" t="s">
        <v>46</v>
      </c>
      <c r="K3" s="11" t="s">
        <v>47</v>
      </c>
      <c r="M3" s="388" t="s">
        <v>40</v>
      </c>
      <c r="N3" s="389"/>
      <c r="O3" s="389"/>
      <c r="P3" s="389"/>
      <c r="Q3" s="390"/>
    </row>
    <row r="4" spans="3:18" ht="45.75" thickBot="1" x14ac:dyDescent="0.3">
      <c r="C4" s="12">
        <v>1</v>
      </c>
      <c r="D4" s="12">
        <v>5</v>
      </c>
      <c r="E4" s="13">
        <f>+(23.1818181818182)/8</f>
        <v>2.8977272727272751</v>
      </c>
      <c r="F4" s="13">
        <f>E4*D4</f>
        <v>14.488636363636376</v>
      </c>
      <c r="G4" s="13">
        <f>+F4*2</f>
        <v>28.977272727272751</v>
      </c>
      <c r="H4" s="14"/>
      <c r="J4" s="15">
        <f>+E4*4</f>
        <v>11.590909090909101</v>
      </c>
      <c r="K4" s="16">
        <f>+J4*2</f>
        <v>23.181818181818201</v>
      </c>
      <c r="M4" s="17" t="s">
        <v>41</v>
      </c>
      <c r="N4" s="18" t="s">
        <v>22</v>
      </c>
      <c r="O4" s="19" t="s">
        <v>48</v>
      </c>
      <c r="P4" s="20" t="s">
        <v>1</v>
      </c>
      <c r="Q4" s="21" t="s">
        <v>0</v>
      </c>
    </row>
    <row r="5" spans="3:18" ht="15.75" thickBot="1" x14ac:dyDescent="0.3">
      <c r="G5" s="22"/>
      <c r="M5" s="23">
        <v>16.64</v>
      </c>
      <c r="N5" s="24" t="s">
        <v>49</v>
      </c>
      <c r="O5" s="25">
        <f>F28</f>
        <v>173.90633333333332</v>
      </c>
      <c r="P5" s="26">
        <f>F29</f>
        <v>20.868759999999998</v>
      </c>
      <c r="Q5" s="27">
        <f>F30</f>
        <v>194.77509333333333</v>
      </c>
    </row>
    <row r="6" spans="3:18" ht="15.75" thickBot="1" x14ac:dyDescent="0.3">
      <c r="F6" s="28" t="s">
        <v>1</v>
      </c>
      <c r="G6" s="29">
        <f>+G4*0.12</f>
        <v>3.4772727272727302</v>
      </c>
      <c r="I6">
        <f>+G4/4</f>
        <v>7.2443181818181879</v>
      </c>
    </row>
    <row r="7" spans="3:18" ht="15.75" thickBot="1" x14ac:dyDescent="0.3">
      <c r="F7" s="28" t="s">
        <v>35</v>
      </c>
      <c r="G7" s="30">
        <f>+G4+G6</f>
        <v>32.454545454545482</v>
      </c>
      <c r="M7" s="31"/>
      <c r="N7" s="32"/>
      <c r="O7" s="33"/>
      <c r="P7" s="34"/>
      <c r="Q7" s="35"/>
    </row>
    <row r="10" spans="3:18" x14ac:dyDescent="0.25">
      <c r="G10" s="7">
        <f>G7+83.22</f>
        <v>115.67454545454548</v>
      </c>
    </row>
    <row r="13" spans="3:18" ht="15.75" thickBot="1" x14ac:dyDescent="0.3">
      <c r="H13" s="36" t="s">
        <v>50</v>
      </c>
      <c r="N13" s="36" t="s">
        <v>38</v>
      </c>
    </row>
    <row r="14" spans="3:18" ht="15.75" thickBot="1" x14ac:dyDescent="0.3">
      <c r="H14" s="37" t="s">
        <v>51</v>
      </c>
      <c r="I14" s="37" t="s">
        <v>52</v>
      </c>
      <c r="J14" s="38" t="s">
        <v>53</v>
      </c>
      <c r="K14" s="39" t="s">
        <v>22</v>
      </c>
      <c r="L14" s="38" t="s">
        <v>0</v>
      </c>
      <c r="N14" s="40" t="s">
        <v>38</v>
      </c>
      <c r="O14" s="41" t="s">
        <v>54</v>
      </c>
      <c r="P14" s="42" t="s">
        <v>55</v>
      </c>
      <c r="Q14" s="42" t="s">
        <v>0</v>
      </c>
      <c r="R14" s="43"/>
    </row>
    <row r="15" spans="3:18" ht="15.75" thickBot="1" x14ac:dyDescent="0.3">
      <c r="H15" s="44">
        <v>1000</v>
      </c>
      <c r="I15" s="44">
        <v>1</v>
      </c>
      <c r="J15" s="45">
        <v>36</v>
      </c>
      <c r="K15" s="44">
        <v>22</v>
      </c>
      <c r="L15" s="45">
        <f>((H15/J15)/K15)</f>
        <v>1.2626262626262628</v>
      </c>
      <c r="N15" s="46">
        <v>1</v>
      </c>
      <c r="O15" s="47">
        <v>517.20000000000005</v>
      </c>
      <c r="P15" s="48">
        <v>22</v>
      </c>
      <c r="Q15" s="49">
        <f>O15/P15</f>
        <v>23.509090909090911</v>
      </c>
    </row>
    <row r="16" spans="3:18" ht="15.75" thickBot="1" x14ac:dyDescent="0.3"/>
    <row r="17" spans="2:17" x14ac:dyDescent="0.25">
      <c r="H17" s="37" t="s">
        <v>56</v>
      </c>
      <c r="I17" s="37" t="s">
        <v>52</v>
      </c>
      <c r="J17" s="38" t="s">
        <v>53</v>
      </c>
      <c r="K17" s="39" t="s">
        <v>22</v>
      </c>
      <c r="L17" s="38" t="s">
        <v>0</v>
      </c>
      <c r="N17" s="50"/>
      <c r="O17" s="51"/>
      <c r="P17" s="52"/>
      <c r="Q17" s="53"/>
    </row>
    <row r="18" spans="2:17" x14ac:dyDescent="0.25">
      <c r="H18" s="44">
        <v>2000</v>
      </c>
      <c r="I18" s="44">
        <v>1</v>
      </c>
      <c r="J18" s="45">
        <v>36</v>
      </c>
      <c r="K18" s="44">
        <v>22</v>
      </c>
      <c r="L18" s="45">
        <f>((H18/J18)/K18)</f>
        <v>2.5252525252525255</v>
      </c>
    </row>
    <row r="19" spans="2:17" ht="15.75" thickBot="1" x14ac:dyDescent="0.3">
      <c r="N19" s="50"/>
      <c r="O19" s="52"/>
      <c r="P19" s="52"/>
      <c r="Q19" s="53"/>
    </row>
    <row r="20" spans="2:17" ht="15.75" thickBot="1" x14ac:dyDescent="0.3">
      <c r="C20" s="391" t="s">
        <v>39</v>
      </c>
      <c r="D20" s="392"/>
      <c r="E20" s="392"/>
      <c r="F20" s="393"/>
      <c r="H20" s="54" t="s">
        <v>57</v>
      </c>
      <c r="I20" s="55">
        <v>3.79</v>
      </c>
    </row>
    <row r="21" spans="2:17" ht="15.75" thickBot="1" x14ac:dyDescent="0.3">
      <c r="C21" s="56" t="s">
        <v>3</v>
      </c>
      <c r="D21" s="57" t="s">
        <v>56</v>
      </c>
      <c r="E21" s="57" t="s">
        <v>51</v>
      </c>
      <c r="F21" s="58" t="s">
        <v>0</v>
      </c>
      <c r="H21" s="59" t="s">
        <v>38</v>
      </c>
      <c r="I21" s="60">
        <f>Q15</f>
        <v>23.509090909090911</v>
      </c>
    </row>
    <row r="22" spans="2:17" ht="15.75" thickBot="1" x14ac:dyDescent="0.3">
      <c r="B22" s="61"/>
      <c r="C22" s="62" t="s">
        <v>57</v>
      </c>
      <c r="D22" s="63">
        <f>L18</f>
        <v>2.5252525252525255</v>
      </c>
      <c r="E22" s="64">
        <f>L15</f>
        <v>1.2626262626262628</v>
      </c>
      <c r="F22" s="65">
        <f>D22+E22</f>
        <v>3.7878787878787881</v>
      </c>
      <c r="H22" s="66" t="s">
        <v>58</v>
      </c>
      <c r="I22" s="55">
        <v>25</v>
      </c>
    </row>
    <row r="23" spans="2:17" ht="16.5" thickTop="1" thickBot="1" x14ac:dyDescent="0.3">
      <c r="C23" s="67" t="s">
        <v>38</v>
      </c>
      <c r="D23" s="6"/>
      <c r="E23" s="6"/>
      <c r="F23" s="68">
        <f>I21</f>
        <v>23.509090909090911</v>
      </c>
      <c r="H23" s="69" t="s">
        <v>33</v>
      </c>
      <c r="I23" s="60">
        <v>50</v>
      </c>
      <c r="J23" s="70" t="s">
        <v>59</v>
      </c>
      <c r="K23" s="71">
        <f>I24*J24</f>
        <v>51.149545454545454</v>
      </c>
    </row>
    <row r="24" spans="2:17" ht="16.5" thickTop="1" thickBot="1" x14ac:dyDescent="0.3">
      <c r="C24" s="67" t="s">
        <v>33</v>
      </c>
      <c r="D24" s="6"/>
      <c r="E24" s="6"/>
      <c r="F24" s="68">
        <v>50</v>
      </c>
      <c r="H24" s="72" t="s">
        <v>0</v>
      </c>
      <c r="I24" s="73">
        <f>SUM(I20:I23)</f>
        <v>102.29909090909091</v>
      </c>
      <c r="J24" s="74">
        <v>0.5</v>
      </c>
    </row>
    <row r="25" spans="2:17" ht="16.5" thickTop="1" thickBot="1" x14ac:dyDescent="0.3">
      <c r="C25" s="75" t="s">
        <v>58</v>
      </c>
      <c r="F25" s="76">
        <f>I22</f>
        <v>25</v>
      </c>
      <c r="J25" s="70" t="s">
        <v>60</v>
      </c>
      <c r="K25" s="71">
        <f>I24*J26</f>
        <v>20.459818181818182</v>
      </c>
    </row>
    <row r="26" spans="2:17" ht="16.5" thickTop="1" thickBot="1" x14ac:dyDescent="0.3">
      <c r="C26" s="77" t="s">
        <v>60</v>
      </c>
      <c r="D26" s="78">
        <f>+J26</f>
        <v>0.2</v>
      </c>
      <c r="F26" s="76">
        <f>+K25</f>
        <v>20.459818181818182</v>
      </c>
      <c r="J26" s="74">
        <v>0.2</v>
      </c>
    </row>
    <row r="27" spans="2:17" ht="16.5" thickTop="1" thickBot="1" x14ac:dyDescent="0.3">
      <c r="C27" s="79" t="s">
        <v>59</v>
      </c>
      <c r="D27" s="80">
        <f>+J24</f>
        <v>0.5</v>
      </c>
      <c r="E27" s="6"/>
      <c r="F27" s="3">
        <f>K23</f>
        <v>51.149545454545454</v>
      </c>
    </row>
    <row r="28" spans="2:17" x14ac:dyDescent="0.25">
      <c r="C28" s="1"/>
      <c r="D28" s="1"/>
      <c r="E28" s="4" t="s">
        <v>2</v>
      </c>
      <c r="F28" s="3">
        <f>SUM(F22:F27)</f>
        <v>173.90633333333332</v>
      </c>
    </row>
    <row r="29" spans="2:17" ht="15.75" thickBot="1" x14ac:dyDescent="0.3">
      <c r="C29" s="1"/>
      <c r="D29" s="1"/>
      <c r="E29" s="4" t="s">
        <v>1</v>
      </c>
      <c r="F29" s="3">
        <f>F28*12%</f>
        <v>20.868759999999998</v>
      </c>
    </row>
    <row r="30" spans="2:17" ht="15.75" thickBot="1" x14ac:dyDescent="0.3">
      <c r="C30" s="2"/>
      <c r="D30" s="1"/>
      <c r="E30" s="5" t="s">
        <v>0</v>
      </c>
      <c r="F30" s="81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G29"/>
  <sheetViews>
    <sheetView zoomScale="70" zoomScaleNormal="70" workbookViewId="0">
      <selection activeCell="I15" sqref="I15"/>
    </sheetView>
  </sheetViews>
  <sheetFormatPr baseColWidth="10" defaultColWidth="11.42578125" defaultRowHeight="15" x14ac:dyDescent="0.25"/>
  <cols>
    <col min="1" max="1" width="15.85546875" style="82" customWidth="1"/>
    <col min="2" max="2" width="3.5703125" style="82" customWidth="1"/>
    <col min="3" max="3" width="32.85546875" style="82" customWidth="1"/>
    <col min="4" max="4" width="17.85546875" style="82" bestFit="1" customWidth="1"/>
    <col min="5" max="5" width="17.7109375" style="82" customWidth="1"/>
    <col min="6" max="7" width="20.5703125" style="82" customWidth="1"/>
    <col min="8" max="8" width="5.28515625" style="82" customWidth="1"/>
    <col min="9" max="9" width="16.140625" style="82" customWidth="1"/>
    <col min="10" max="11" width="2.85546875" style="82" customWidth="1"/>
    <col min="12" max="293" width="2.5703125" style="82" customWidth="1"/>
    <col min="294" max="16384" width="11.42578125" style="82"/>
  </cols>
  <sheetData>
    <row r="3" spans="1:293" ht="18.75" x14ac:dyDescent="0.3">
      <c r="C3" s="396" t="s">
        <v>150</v>
      </c>
      <c r="D3" s="396"/>
      <c r="E3" s="396"/>
      <c r="F3" s="396"/>
      <c r="G3" s="396"/>
      <c r="H3" s="83"/>
      <c r="I3" s="83"/>
      <c r="L3" s="398"/>
      <c r="M3" s="398"/>
      <c r="N3" s="398"/>
      <c r="O3" s="398"/>
      <c r="P3" s="398"/>
      <c r="Q3" s="398"/>
      <c r="R3" s="398"/>
      <c r="S3" s="398"/>
      <c r="T3" s="398"/>
      <c r="U3" s="398"/>
      <c r="V3" s="398"/>
      <c r="W3" s="398"/>
      <c r="X3" s="398"/>
      <c r="Y3" s="398"/>
      <c r="Z3" s="398"/>
      <c r="AA3" s="398"/>
      <c r="AB3" s="398"/>
      <c r="AC3" s="398"/>
      <c r="AD3" s="398"/>
      <c r="AE3" s="398"/>
      <c r="AF3" s="398"/>
      <c r="AG3" s="398"/>
      <c r="AH3" s="398"/>
      <c r="AI3" s="398"/>
      <c r="AJ3" s="398"/>
      <c r="AK3" s="398"/>
      <c r="AL3" s="398"/>
      <c r="AM3" s="398"/>
      <c r="AN3" s="398"/>
      <c r="AO3" s="398"/>
      <c r="AP3" s="398"/>
      <c r="AQ3" s="398"/>
      <c r="AR3" s="398"/>
      <c r="AS3" s="398"/>
      <c r="AT3" s="398"/>
      <c r="AU3" s="398"/>
      <c r="AV3" s="398"/>
      <c r="AW3" s="398"/>
      <c r="AX3" s="398"/>
      <c r="AY3" s="398"/>
      <c r="AZ3" s="398"/>
      <c r="BA3" s="398"/>
      <c r="BB3" s="398"/>
      <c r="BC3" s="398"/>
      <c r="BD3" s="398"/>
      <c r="BE3" s="398"/>
      <c r="BF3" s="398"/>
      <c r="BG3" s="398"/>
      <c r="BH3" s="398"/>
      <c r="BI3" s="398"/>
      <c r="BJ3" s="398"/>
      <c r="BK3" s="398"/>
      <c r="BL3" s="398"/>
      <c r="BM3" s="398"/>
      <c r="BN3" s="398"/>
      <c r="BO3" s="398"/>
      <c r="BP3" s="398"/>
      <c r="BQ3" s="398"/>
      <c r="BR3" s="398"/>
      <c r="BS3" s="398"/>
      <c r="BT3" s="398"/>
      <c r="BU3" s="398"/>
      <c r="BV3" s="398"/>
      <c r="BW3" s="398"/>
      <c r="BX3" s="398"/>
      <c r="BY3" s="398"/>
      <c r="BZ3" s="398"/>
      <c r="CA3" s="398"/>
      <c r="CB3" s="398"/>
      <c r="CC3" s="398"/>
      <c r="CD3" s="398"/>
      <c r="CE3" s="398"/>
      <c r="CF3" s="398"/>
      <c r="CG3" s="398"/>
      <c r="CH3" s="398"/>
      <c r="CI3" s="398"/>
      <c r="CJ3" s="398"/>
      <c r="CK3" s="398"/>
      <c r="CL3" s="398"/>
      <c r="CM3" s="398"/>
      <c r="CN3" s="398"/>
      <c r="CO3" s="398"/>
      <c r="CP3" s="398"/>
      <c r="CQ3" s="398"/>
      <c r="CR3" s="398"/>
      <c r="CS3" s="398"/>
      <c r="CT3" s="398"/>
      <c r="CU3" s="398"/>
      <c r="CV3" s="398"/>
      <c r="CW3" s="398"/>
      <c r="CX3" s="398"/>
      <c r="CY3" s="398"/>
      <c r="CZ3" s="398"/>
      <c r="DA3" s="398"/>
      <c r="DB3" s="398"/>
      <c r="DC3" s="398"/>
      <c r="DD3" s="398"/>
      <c r="DE3" s="398"/>
      <c r="DF3" s="398"/>
      <c r="DG3" s="398"/>
      <c r="DH3" s="398"/>
      <c r="DI3" s="398"/>
      <c r="DJ3" s="398"/>
      <c r="DK3" s="398"/>
      <c r="DL3" s="398"/>
      <c r="DM3" s="398"/>
      <c r="DN3" s="398"/>
      <c r="DO3" s="398"/>
      <c r="DP3" s="398"/>
      <c r="DQ3" s="398"/>
      <c r="DR3" s="398"/>
      <c r="DS3" s="398"/>
      <c r="DT3" s="398"/>
      <c r="DU3" s="398"/>
      <c r="DV3" s="398"/>
      <c r="DW3" s="398"/>
      <c r="DX3" s="398"/>
      <c r="DY3" s="398"/>
      <c r="DZ3" s="398"/>
      <c r="EA3" s="398"/>
      <c r="EB3" s="398"/>
      <c r="EC3" s="398"/>
      <c r="ED3" s="398"/>
      <c r="EE3" s="398"/>
      <c r="EF3" s="398"/>
      <c r="EG3" s="398"/>
      <c r="EH3" s="398"/>
      <c r="EI3" s="398"/>
      <c r="EJ3" s="398"/>
      <c r="EK3" s="398"/>
      <c r="EL3" s="398"/>
      <c r="EM3" s="394"/>
      <c r="EN3" s="395"/>
      <c r="EO3" s="395"/>
      <c r="EP3" s="395"/>
      <c r="EQ3" s="395"/>
      <c r="ER3" s="395"/>
      <c r="ES3" s="395"/>
      <c r="ET3" s="395"/>
      <c r="EU3" s="395"/>
      <c r="EV3" s="395"/>
      <c r="EW3" s="395"/>
      <c r="EX3" s="395"/>
      <c r="EY3" s="395"/>
      <c r="EZ3" s="395"/>
      <c r="FA3" s="395"/>
      <c r="FB3" s="395"/>
      <c r="FC3" s="395"/>
      <c r="FD3" s="395"/>
      <c r="FE3" s="395"/>
      <c r="FF3" s="395"/>
      <c r="FG3" s="395"/>
      <c r="FH3" s="395"/>
      <c r="FI3" s="394"/>
      <c r="FJ3" s="395"/>
      <c r="FK3" s="395"/>
      <c r="FL3" s="395"/>
      <c r="FM3" s="395"/>
      <c r="FN3" s="395"/>
      <c r="FO3" s="395"/>
      <c r="FP3" s="395"/>
      <c r="FQ3" s="395"/>
      <c r="FR3" s="395"/>
      <c r="FS3" s="395"/>
      <c r="FT3" s="395"/>
      <c r="FU3" s="395"/>
      <c r="FV3" s="395"/>
      <c r="FW3" s="395"/>
      <c r="FX3" s="395"/>
      <c r="FY3" s="395"/>
      <c r="FZ3" s="395"/>
      <c r="GA3" s="395"/>
      <c r="GB3" s="395"/>
      <c r="GC3" s="394"/>
      <c r="GD3" s="395"/>
      <c r="GE3" s="395"/>
      <c r="GF3" s="395"/>
      <c r="GG3" s="395"/>
      <c r="GH3" s="395"/>
      <c r="GI3" s="395"/>
      <c r="GJ3" s="395"/>
      <c r="GK3" s="395"/>
      <c r="GL3" s="395"/>
      <c r="GM3" s="395"/>
      <c r="GN3" s="395"/>
      <c r="GO3" s="395"/>
      <c r="GP3" s="395"/>
      <c r="GQ3" s="395"/>
      <c r="GR3" s="395"/>
      <c r="GS3" s="395"/>
      <c r="GT3" s="395"/>
      <c r="GU3" s="395"/>
      <c r="GV3" s="395"/>
      <c r="GW3" s="395"/>
      <c r="GX3" s="395"/>
      <c r="GY3" s="395"/>
      <c r="GZ3" s="394"/>
      <c r="HA3" s="395"/>
      <c r="HB3" s="395"/>
      <c r="HC3" s="395"/>
      <c r="HD3" s="395"/>
      <c r="HE3" s="395"/>
      <c r="HF3" s="395"/>
      <c r="HG3" s="395"/>
      <c r="HH3" s="395"/>
      <c r="HI3" s="395"/>
      <c r="HJ3" s="395"/>
      <c r="HK3" s="395"/>
      <c r="HL3" s="395"/>
      <c r="HM3" s="395"/>
      <c r="HN3" s="395"/>
      <c r="HO3" s="395"/>
      <c r="HP3" s="395"/>
      <c r="HQ3" s="395"/>
      <c r="HR3" s="395"/>
      <c r="HS3" s="395"/>
      <c r="HT3" s="394"/>
      <c r="HU3" s="395"/>
      <c r="HV3" s="395"/>
      <c r="HW3" s="395"/>
      <c r="HX3" s="395"/>
      <c r="HY3" s="395"/>
      <c r="HZ3" s="395"/>
      <c r="IA3" s="395"/>
      <c r="IB3" s="395"/>
      <c r="IC3" s="395"/>
      <c r="ID3" s="395"/>
      <c r="IE3" s="395"/>
      <c r="IF3" s="395"/>
      <c r="IG3" s="395"/>
      <c r="IH3" s="395"/>
      <c r="II3" s="395"/>
      <c r="IJ3" s="395"/>
      <c r="IK3" s="395"/>
      <c r="IL3" s="395"/>
      <c r="IM3" s="395"/>
      <c r="IN3" s="395"/>
      <c r="IO3" s="395"/>
      <c r="IP3" s="395"/>
      <c r="IQ3" s="394"/>
      <c r="IR3" s="395"/>
      <c r="IS3" s="395"/>
      <c r="IT3" s="395"/>
      <c r="IU3" s="395"/>
      <c r="IV3" s="395"/>
      <c r="IW3" s="395"/>
      <c r="IX3" s="395"/>
      <c r="IY3" s="395"/>
      <c r="IZ3" s="395"/>
      <c r="JA3" s="395"/>
      <c r="JB3" s="395"/>
      <c r="JC3" s="395"/>
      <c r="JD3" s="395"/>
      <c r="JE3" s="395"/>
      <c r="JF3" s="395"/>
      <c r="JG3" s="395"/>
      <c r="JH3" s="395"/>
      <c r="JI3" s="395"/>
      <c r="JJ3" s="395"/>
      <c r="JK3" s="395"/>
      <c r="JL3" s="395"/>
      <c r="JM3" s="395"/>
      <c r="JN3" s="395"/>
      <c r="JO3" s="395"/>
      <c r="JP3" s="395"/>
      <c r="JQ3" s="395"/>
      <c r="JR3" s="395"/>
      <c r="JS3" s="395"/>
      <c r="JT3" s="395"/>
      <c r="JU3" s="395"/>
      <c r="JV3" s="395"/>
      <c r="JW3" s="395"/>
      <c r="JX3" s="395"/>
      <c r="JY3" s="395"/>
      <c r="JZ3" s="395"/>
      <c r="KA3" s="395"/>
      <c r="KB3" s="395"/>
      <c r="KC3" s="395"/>
      <c r="KD3" s="395"/>
      <c r="KE3" s="395"/>
      <c r="KF3" s="395"/>
      <c r="KG3" s="395"/>
    </row>
    <row r="4" spans="1:293" ht="18.75" x14ac:dyDescent="0.3">
      <c r="C4" s="396"/>
      <c r="D4" s="396"/>
      <c r="E4" s="396"/>
      <c r="F4" s="396"/>
      <c r="G4" s="396"/>
      <c r="L4" s="84">
        <v>1</v>
      </c>
      <c r="M4" s="84">
        <v>4</v>
      </c>
      <c r="N4" s="84">
        <v>5</v>
      </c>
      <c r="O4" s="84">
        <v>6</v>
      </c>
      <c r="P4" s="84">
        <v>7</v>
      </c>
      <c r="Q4" s="84">
        <v>8</v>
      </c>
      <c r="R4" s="84">
        <v>11</v>
      </c>
      <c r="S4" s="84">
        <v>12</v>
      </c>
      <c r="T4" s="84">
        <v>13</v>
      </c>
      <c r="U4" s="84">
        <v>14</v>
      </c>
      <c r="V4" s="84">
        <v>15</v>
      </c>
      <c r="W4" s="84">
        <v>18</v>
      </c>
      <c r="X4" s="84">
        <v>19</v>
      </c>
      <c r="Y4" s="84">
        <v>20</v>
      </c>
      <c r="Z4" s="84">
        <v>21</v>
      </c>
      <c r="AA4" s="84">
        <v>22</v>
      </c>
      <c r="AB4" s="84">
        <v>25</v>
      </c>
      <c r="AC4" s="84">
        <v>26</v>
      </c>
      <c r="AD4" s="84">
        <v>27</v>
      </c>
      <c r="AE4" s="84">
        <v>28</v>
      </c>
      <c r="AF4" s="84">
        <v>29</v>
      </c>
      <c r="AG4" s="84">
        <v>1</v>
      </c>
      <c r="AH4" s="84">
        <v>2</v>
      </c>
      <c r="AI4" s="84">
        <v>3</v>
      </c>
      <c r="AJ4" s="84">
        <v>4</v>
      </c>
      <c r="AK4" s="84">
        <v>5</v>
      </c>
      <c r="AL4" s="84">
        <v>8</v>
      </c>
      <c r="AM4" s="84">
        <v>9</v>
      </c>
      <c r="AN4" s="84">
        <v>10</v>
      </c>
      <c r="AO4" s="84">
        <v>11</v>
      </c>
      <c r="AP4" s="84">
        <v>12</v>
      </c>
      <c r="AQ4" s="84">
        <v>15</v>
      </c>
      <c r="AR4" s="84">
        <v>16</v>
      </c>
      <c r="AS4" s="84">
        <v>17</v>
      </c>
      <c r="AT4" s="84">
        <v>18</v>
      </c>
      <c r="AU4" s="84">
        <v>19</v>
      </c>
      <c r="AV4" s="84">
        <v>22</v>
      </c>
      <c r="AW4" s="84">
        <v>23</v>
      </c>
      <c r="AX4" s="84">
        <v>24</v>
      </c>
      <c r="AY4" s="84">
        <v>25</v>
      </c>
      <c r="AZ4" s="84">
        <v>26</v>
      </c>
      <c r="BA4" s="84">
        <v>29</v>
      </c>
      <c r="BB4" s="84">
        <v>30</v>
      </c>
      <c r="BC4" s="84">
        <v>31</v>
      </c>
      <c r="BD4" s="84">
        <v>1</v>
      </c>
      <c r="BE4" s="84">
        <v>2</v>
      </c>
      <c r="BF4" s="84">
        <v>5</v>
      </c>
      <c r="BG4" s="84">
        <v>6</v>
      </c>
      <c r="BH4" s="84">
        <v>7</v>
      </c>
      <c r="BI4" s="84">
        <v>8</v>
      </c>
      <c r="BJ4" s="84">
        <v>9</v>
      </c>
      <c r="BK4" s="84">
        <v>12</v>
      </c>
      <c r="BL4" s="84">
        <v>13</v>
      </c>
      <c r="BM4" s="84">
        <v>14</v>
      </c>
      <c r="BN4" s="84">
        <v>15</v>
      </c>
      <c r="BO4" s="84">
        <v>16</v>
      </c>
      <c r="BP4" s="84">
        <v>19</v>
      </c>
      <c r="BQ4" s="84">
        <v>20</v>
      </c>
      <c r="BR4" s="84">
        <v>21</v>
      </c>
      <c r="BS4" s="84">
        <v>22</v>
      </c>
      <c r="BT4" s="84">
        <v>23</v>
      </c>
      <c r="BU4" s="84">
        <v>26</v>
      </c>
      <c r="BV4" s="84">
        <v>27</v>
      </c>
      <c r="BW4" s="84">
        <v>28</v>
      </c>
      <c r="BX4" s="84">
        <v>29</v>
      </c>
      <c r="BY4" s="84">
        <v>30</v>
      </c>
      <c r="BZ4" s="84">
        <v>3</v>
      </c>
      <c r="CA4" s="84">
        <v>4</v>
      </c>
      <c r="CB4" s="84">
        <v>5</v>
      </c>
      <c r="CC4" s="84">
        <v>6</v>
      </c>
      <c r="CD4" s="84">
        <v>7</v>
      </c>
      <c r="CE4" s="84">
        <v>10</v>
      </c>
      <c r="CF4" s="84">
        <v>11</v>
      </c>
      <c r="CG4" s="84">
        <v>12</v>
      </c>
      <c r="CH4" s="84">
        <v>13</v>
      </c>
      <c r="CI4" s="84">
        <v>14</v>
      </c>
      <c r="CJ4" s="84">
        <v>17</v>
      </c>
      <c r="CK4" s="84">
        <v>18</v>
      </c>
      <c r="CL4" s="84">
        <v>19</v>
      </c>
      <c r="CM4" s="84">
        <v>20</v>
      </c>
      <c r="CN4" s="84">
        <v>21</v>
      </c>
      <c r="CO4" s="84">
        <v>24</v>
      </c>
      <c r="CP4" s="84">
        <v>25</v>
      </c>
      <c r="CQ4" s="84">
        <v>26</v>
      </c>
      <c r="CR4" s="84">
        <v>27</v>
      </c>
      <c r="CS4" s="84">
        <v>28</v>
      </c>
      <c r="CT4" s="84">
        <v>31</v>
      </c>
      <c r="CU4" s="84">
        <v>1</v>
      </c>
      <c r="CV4" s="85">
        <v>2</v>
      </c>
      <c r="CW4" s="85">
        <v>3</v>
      </c>
      <c r="CX4" s="84">
        <v>4</v>
      </c>
      <c r="CY4" s="84">
        <v>7</v>
      </c>
      <c r="CZ4" s="84">
        <v>8</v>
      </c>
      <c r="DA4" s="84">
        <v>9</v>
      </c>
      <c r="DB4" s="84">
        <v>10</v>
      </c>
      <c r="DC4" s="84">
        <v>11</v>
      </c>
      <c r="DD4" s="84">
        <v>14</v>
      </c>
      <c r="DE4" s="84">
        <v>15</v>
      </c>
      <c r="DF4" s="84">
        <v>16</v>
      </c>
      <c r="DG4" s="84">
        <v>17</v>
      </c>
      <c r="DH4" s="84">
        <v>18</v>
      </c>
      <c r="DI4" s="84">
        <v>21</v>
      </c>
      <c r="DJ4" s="84">
        <v>22</v>
      </c>
      <c r="DK4" s="84">
        <v>23</v>
      </c>
      <c r="DL4" s="84">
        <v>24</v>
      </c>
      <c r="DM4" s="84">
        <v>25</v>
      </c>
      <c r="DN4" s="84">
        <v>28</v>
      </c>
      <c r="DO4" s="84">
        <v>29</v>
      </c>
      <c r="DP4" s="84">
        <v>30</v>
      </c>
      <c r="DQ4" s="84">
        <v>1</v>
      </c>
      <c r="DR4" s="84">
        <v>2</v>
      </c>
      <c r="DS4" s="84">
        <v>5</v>
      </c>
      <c r="DT4" s="84">
        <v>6</v>
      </c>
      <c r="DU4" s="84">
        <v>7</v>
      </c>
      <c r="DV4" s="84">
        <v>8</v>
      </c>
      <c r="DW4" s="84">
        <v>9</v>
      </c>
      <c r="DX4" s="84">
        <v>12</v>
      </c>
      <c r="DY4" s="84">
        <v>13</v>
      </c>
      <c r="DZ4" s="84">
        <v>14</v>
      </c>
      <c r="EA4" s="84">
        <v>15</v>
      </c>
      <c r="EB4" s="84">
        <v>16</v>
      </c>
      <c r="EC4" s="84">
        <v>19</v>
      </c>
      <c r="ED4" s="84">
        <v>20</v>
      </c>
      <c r="EE4" s="84">
        <v>21</v>
      </c>
      <c r="EF4" s="84">
        <v>22</v>
      </c>
      <c r="EG4" s="84">
        <v>23</v>
      </c>
      <c r="EH4" s="84">
        <v>26</v>
      </c>
      <c r="EI4" s="84">
        <v>27</v>
      </c>
      <c r="EJ4" s="84">
        <v>28</v>
      </c>
      <c r="EK4" s="84">
        <v>29</v>
      </c>
      <c r="EL4" s="84">
        <v>30</v>
      </c>
      <c r="EM4" s="84">
        <v>2</v>
      </c>
      <c r="EN4" s="84">
        <v>3</v>
      </c>
      <c r="EO4" s="84">
        <v>4</v>
      </c>
      <c r="EP4" s="84">
        <v>5</v>
      </c>
      <c r="EQ4" s="84">
        <v>6</v>
      </c>
      <c r="ER4" s="86">
        <v>9</v>
      </c>
      <c r="ES4" s="86">
        <v>10</v>
      </c>
      <c r="ET4" s="86">
        <v>11</v>
      </c>
      <c r="EU4" s="86">
        <v>12</v>
      </c>
      <c r="EV4" s="86">
        <v>13</v>
      </c>
      <c r="EW4" s="86">
        <v>16</v>
      </c>
      <c r="EX4" s="86">
        <v>17</v>
      </c>
      <c r="EY4" s="86">
        <v>18</v>
      </c>
      <c r="EZ4" s="86">
        <v>19</v>
      </c>
      <c r="FA4" s="86">
        <v>20</v>
      </c>
      <c r="FB4" s="86">
        <v>23</v>
      </c>
      <c r="FC4" s="86">
        <v>24</v>
      </c>
      <c r="FD4" s="86">
        <v>25</v>
      </c>
      <c r="FE4" s="86">
        <v>26</v>
      </c>
      <c r="FF4" s="86">
        <v>27</v>
      </c>
      <c r="FG4" s="86">
        <v>30</v>
      </c>
      <c r="FH4" s="86">
        <v>31</v>
      </c>
      <c r="FI4" s="86">
        <v>1</v>
      </c>
      <c r="FJ4" s="86">
        <v>2</v>
      </c>
      <c r="FK4" s="86">
        <v>3</v>
      </c>
      <c r="FL4" s="86">
        <v>6</v>
      </c>
      <c r="FM4" s="86">
        <v>7</v>
      </c>
      <c r="FN4" s="86">
        <v>8</v>
      </c>
      <c r="FO4" s="86">
        <v>9</v>
      </c>
      <c r="FP4" s="86">
        <v>10</v>
      </c>
      <c r="FQ4" s="86">
        <v>13</v>
      </c>
      <c r="FR4" s="86">
        <v>14</v>
      </c>
      <c r="FS4" s="86">
        <v>15</v>
      </c>
      <c r="FT4" s="86">
        <v>16</v>
      </c>
      <c r="FU4" s="86">
        <v>17</v>
      </c>
      <c r="FV4" s="86">
        <v>20</v>
      </c>
      <c r="FW4" s="86">
        <v>21</v>
      </c>
      <c r="FX4" s="86">
        <v>22</v>
      </c>
      <c r="FY4" s="86">
        <v>23</v>
      </c>
      <c r="FZ4" s="86">
        <v>24</v>
      </c>
      <c r="GA4" s="86">
        <v>27</v>
      </c>
      <c r="GB4" s="86">
        <v>28</v>
      </c>
      <c r="GC4" s="86">
        <v>1</v>
      </c>
      <c r="GD4" s="86">
        <v>2</v>
      </c>
      <c r="GE4" s="86">
        <v>3</v>
      </c>
      <c r="GF4" s="86">
        <v>6</v>
      </c>
      <c r="GG4" s="86">
        <v>7</v>
      </c>
      <c r="GH4" s="86">
        <v>8</v>
      </c>
      <c r="GI4" s="86">
        <v>9</v>
      </c>
      <c r="GJ4" s="86">
        <v>10</v>
      </c>
      <c r="GK4" s="86">
        <v>13</v>
      </c>
      <c r="GL4" s="86">
        <v>14</v>
      </c>
      <c r="GM4" s="86">
        <v>15</v>
      </c>
      <c r="GN4" s="86">
        <v>16</v>
      </c>
      <c r="GO4" s="86">
        <v>17</v>
      </c>
      <c r="GP4" s="86">
        <v>20</v>
      </c>
      <c r="GQ4" s="86">
        <v>21</v>
      </c>
      <c r="GR4" s="86">
        <v>22</v>
      </c>
      <c r="GS4" s="86">
        <v>23</v>
      </c>
      <c r="GT4" s="86">
        <v>24</v>
      </c>
      <c r="GU4" s="86">
        <v>27</v>
      </c>
      <c r="GV4" s="86">
        <v>28</v>
      </c>
      <c r="GW4" s="86">
        <v>29</v>
      </c>
      <c r="GX4" s="86">
        <v>30</v>
      </c>
      <c r="GY4" s="86">
        <v>31</v>
      </c>
      <c r="GZ4" s="86">
        <v>3</v>
      </c>
      <c r="HA4" s="86">
        <v>4</v>
      </c>
      <c r="HB4" s="86">
        <v>5</v>
      </c>
      <c r="HC4" s="86">
        <v>6</v>
      </c>
      <c r="HD4" s="86">
        <v>7</v>
      </c>
      <c r="HE4" s="86">
        <v>10</v>
      </c>
      <c r="HF4" s="86">
        <v>11</v>
      </c>
      <c r="HG4" s="86">
        <v>12</v>
      </c>
      <c r="HH4" s="86">
        <v>13</v>
      </c>
      <c r="HI4" s="86">
        <v>14</v>
      </c>
      <c r="HJ4" s="86">
        <v>17</v>
      </c>
      <c r="HK4" s="86">
        <v>18</v>
      </c>
      <c r="HL4" s="86">
        <v>19</v>
      </c>
      <c r="HM4" s="86">
        <v>20</v>
      </c>
      <c r="HN4" s="86">
        <v>21</v>
      </c>
      <c r="HO4" s="86">
        <v>24</v>
      </c>
      <c r="HP4" s="86">
        <v>25</v>
      </c>
      <c r="HQ4" s="86">
        <v>26</v>
      </c>
      <c r="HR4" s="86">
        <v>27</v>
      </c>
      <c r="HS4" s="86">
        <v>28</v>
      </c>
      <c r="HT4" s="86">
        <v>1</v>
      </c>
      <c r="HU4" s="86">
        <v>2</v>
      </c>
      <c r="HV4" s="86">
        <v>3</v>
      </c>
      <c r="HW4" s="86">
        <v>4</v>
      </c>
      <c r="HX4" s="86">
        <v>5</v>
      </c>
      <c r="HY4" s="86">
        <v>8</v>
      </c>
      <c r="HZ4" s="86">
        <v>9</v>
      </c>
      <c r="IA4" s="86">
        <v>10</v>
      </c>
      <c r="IB4" s="86">
        <v>11</v>
      </c>
      <c r="IC4" s="86">
        <v>12</v>
      </c>
      <c r="ID4" s="86">
        <v>15</v>
      </c>
      <c r="IE4" s="86">
        <v>16</v>
      </c>
      <c r="IF4" s="86">
        <v>17</v>
      </c>
      <c r="IG4" s="86">
        <v>18</v>
      </c>
      <c r="IH4" s="86">
        <v>19</v>
      </c>
      <c r="II4" s="86">
        <v>22</v>
      </c>
      <c r="IJ4" s="86">
        <v>23</v>
      </c>
      <c r="IK4" s="86">
        <v>24</v>
      </c>
      <c r="IL4" s="86">
        <v>25</v>
      </c>
      <c r="IM4" s="86">
        <v>26</v>
      </c>
      <c r="IN4" s="86">
        <v>29</v>
      </c>
      <c r="IO4" s="86">
        <v>30</v>
      </c>
      <c r="IP4" s="86">
        <v>31</v>
      </c>
      <c r="IQ4" s="86">
        <v>1</v>
      </c>
      <c r="IR4" s="86">
        <v>2</v>
      </c>
      <c r="IS4" s="86">
        <v>5</v>
      </c>
      <c r="IT4" s="86">
        <v>6</v>
      </c>
      <c r="IU4" s="86">
        <v>7</v>
      </c>
      <c r="IV4" s="86">
        <v>8</v>
      </c>
      <c r="IW4" s="86">
        <v>9</v>
      </c>
      <c r="IX4" s="86">
        <v>12</v>
      </c>
      <c r="IY4" s="86">
        <v>13</v>
      </c>
      <c r="IZ4" s="86">
        <v>14</v>
      </c>
      <c r="JA4" s="86">
        <v>15</v>
      </c>
      <c r="JB4" s="86">
        <v>16</v>
      </c>
      <c r="JC4" s="86">
        <v>19</v>
      </c>
      <c r="JD4" s="86">
        <v>20</v>
      </c>
      <c r="JE4" s="86">
        <v>21</v>
      </c>
      <c r="JF4" s="86">
        <v>22</v>
      </c>
      <c r="JG4" s="86">
        <v>23</v>
      </c>
      <c r="JH4" s="86">
        <v>26</v>
      </c>
      <c r="JI4" s="86">
        <v>27</v>
      </c>
      <c r="JJ4" s="86">
        <v>28</v>
      </c>
      <c r="JK4" s="86">
        <v>29</v>
      </c>
      <c r="JL4" s="86">
        <v>30</v>
      </c>
      <c r="JM4" s="86">
        <v>3</v>
      </c>
      <c r="JN4" s="86">
        <v>4</v>
      </c>
      <c r="JO4" s="86">
        <v>5</v>
      </c>
      <c r="JP4" s="86">
        <v>6</v>
      </c>
      <c r="JQ4" s="86">
        <v>7</v>
      </c>
      <c r="JR4" s="86">
        <v>10</v>
      </c>
      <c r="JS4" s="86">
        <v>11</v>
      </c>
      <c r="JT4" s="86">
        <v>12</v>
      </c>
      <c r="JU4" s="86">
        <v>13</v>
      </c>
      <c r="JV4" s="86">
        <v>14</v>
      </c>
      <c r="JW4" s="86">
        <v>17</v>
      </c>
      <c r="JX4" s="86">
        <v>18</v>
      </c>
      <c r="JY4" s="86">
        <v>19</v>
      </c>
      <c r="JZ4" s="86">
        <v>20</v>
      </c>
      <c r="KA4" s="86">
        <v>21</v>
      </c>
      <c r="KB4" s="86">
        <v>24</v>
      </c>
      <c r="KC4" s="86">
        <v>25</v>
      </c>
      <c r="KD4" s="86">
        <v>26</v>
      </c>
      <c r="KE4" s="86">
        <v>27</v>
      </c>
      <c r="KF4" s="86">
        <v>28</v>
      </c>
      <c r="KG4" s="86">
        <v>31</v>
      </c>
    </row>
    <row r="5" spans="1:293" x14ac:dyDescent="0.25">
      <c r="D5" s="87"/>
      <c r="L5" s="88" t="s">
        <v>151</v>
      </c>
      <c r="M5" s="88" t="s">
        <v>152</v>
      </c>
      <c r="N5" s="88" t="s">
        <v>153</v>
      </c>
      <c r="O5" s="88" t="s">
        <v>154</v>
      </c>
      <c r="P5" s="88" t="s">
        <v>155</v>
      </c>
      <c r="Q5" s="88" t="s">
        <v>151</v>
      </c>
      <c r="R5" s="88" t="s">
        <v>152</v>
      </c>
      <c r="S5" s="88" t="s">
        <v>153</v>
      </c>
      <c r="T5" s="88" t="s">
        <v>154</v>
      </c>
      <c r="U5" s="88" t="s">
        <v>155</v>
      </c>
      <c r="V5" s="88" t="s">
        <v>151</v>
      </c>
      <c r="W5" s="88" t="s">
        <v>152</v>
      </c>
      <c r="X5" s="88" t="s">
        <v>153</v>
      </c>
      <c r="Y5" s="88" t="s">
        <v>154</v>
      </c>
      <c r="Z5" s="88" t="s">
        <v>155</v>
      </c>
      <c r="AA5" s="88" t="s">
        <v>151</v>
      </c>
      <c r="AB5" s="88" t="s">
        <v>152</v>
      </c>
      <c r="AC5" s="88" t="s">
        <v>153</v>
      </c>
      <c r="AD5" s="88" t="s">
        <v>154</v>
      </c>
      <c r="AE5" s="88" t="s">
        <v>155</v>
      </c>
      <c r="AF5" s="88" t="s">
        <v>151</v>
      </c>
      <c r="AG5" s="88" t="s">
        <v>152</v>
      </c>
      <c r="AH5" s="88" t="s">
        <v>153</v>
      </c>
      <c r="AI5" s="88" t="s">
        <v>154</v>
      </c>
      <c r="AJ5" s="88" t="s">
        <v>155</v>
      </c>
      <c r="AK5" s="88" t="s">
        <v>151</v>
      </c>
      <c r="AL5" s="88" t="s">
        <v>152</v>
      </c>
      <c r="AM5" s="88" t="s">
        <v>153</v>
      </c>
      <c r="AN5" s="88" t="s">
        <v>154</v>
      </c>
      <c r="AO5" s="88" t="s">
        <v>155</v>
      </c>
      <c r="AP5" s="88" t="s">
        <v>151</v>
      </c>
      <c r="AQ5" s="88" t="s">
        <v>152</v>
      </c>
      <c r="AR5" s="88" t="s">
        <v>153</v>
      </c>
      <c r="AS5" s="88" t="s">
        <v>154</v>
      </c>
      <c r="AT5" s="88" t="s">
        <v>155</v>
      </c>
      <c r="AU5" s="88" t="s">
        <v>151</v>
      </c>
      <c r="AV5" s="88" t="s">
        <v>152</v>
      </c>
      <c r="AW5" s="88" t="s">
        <v>153</v>
      </c>
      <c r="AX5" s="88" t="s">
        <v>154</v>
      </c>
      <c r="AY5" s="88" t="s">
        <v>155</v>
      </c>
      <c r="AZ5" s="88" t="s">
        <v>151</v>
      </c>
      <c r="BA5" s="88" t="s">
        <v>152</v>
      </c>
      <c r="BB5" s="88" t="s">
        <v>153</v>
      </c>
      <c r="BC5" s="88" t="s">
        <v>154</v>
      </c>
      <c r="BD5" s="88" t="s">
        <v>155</v>
      </c>
      <c r="BE5" s="88" t="s">
        <v>151</v>
      </c>
      <c r="BF5" s="88" t="s">
        <v>152</v>
      </c>
      <c r="BG5" s="88" t="s">
        <v>153</v>
      </c>
      <c r="BH5" s="88" t="s">
        <v>154</v>
      </c>
      <c r="BI5" s="88" t="s">
        <v>155</v>
      </c>
      <c r="BJ5" s="88" t="s">
        <v>151</v>
      </c>
      <c r="BK5" s="88" t="s">
        <v>152</v>
      </c>
      <c r="BL5" s="88" t="s">
        <v>153</v>
      </c>
      <c r="BM5" s="88" t="s">
        <v>154</v>
      </c>
      <c r="BN5" s="88" t="s">
        <v>155</v>
      </c>
      <c r="BO5" s="88" t="s">
        <v>151</v>
      </c>
      <c r="BP5" s="88" t="s">
        <v>152</v>
      </c>
      <c r="BQ5" s="88" t="s">
        <v>153</v>
      </c>
      <c r="BR5" s="88" t="s">
        <v>154</v>
      </c>
      <c r="BS5" s="88" t="s">
        <v>155</v>
      </c>
      <c r="BT5" s="88" t="s">
        <v>151</v>
      </c>
      <c r="BU5" s="88" t="s">
        <v>152</v>
      </c>
      <c r="BV5" s="88" t="s">
        <v>153</v>
      </c>
      <c r="BW5" s="88" t="s">
        <v>154</v>
      </c>
      <c r="BX5" s="88" t="s">
        <v>155</v>
      </c>
      <c r="BY5" s="88" t="s">
        <v>151</v>
      </c>
      <c r="BZ5" s="88" t="s">
        <v>152</v>
      </c>
      <c r="CA5" s="88" t="s">
        <v>153</v>
      </c>
      <c r="CB5" s="88" t="s">
        <v>154</v>
      </c>
      <c r="CC5" s="88" t="s">
        <v>155</v>
      </c>
      <c r="CD5" s="88" t="s">
        <v>151</v>
      </c>
      <c r="CE5" s="88" t="s">
        <v>152</v>
      </c>
      <c r="CF5" s="88" t="s">
        <v>153</v>
      </c>
      <c r="CG5" s="88" t="s">
        <v>154</v>
      </c>
      <c r="CH5" s="88" t="s">
        <v>155</v>
      </c>
      <c r="CI5" s="88" t="s">
        <v>151</v>
      </c>
      <c r="CJ5" s="88" t="s">
        <v>152</v>
      </c>
      <c r="CK5" s="88" t="s">
        <v>153</v>
      </c>
      <c r="CL5" s="88" t="s">
        <v>154</v>
      </c>
      <c r="CM5" s="88" t="s">
        <v>155</v>
      </c>
      <c r="CN5" s="88" t="s">
        <v>151</v>
      </c>
      <c r="CO5" s="88" t="s">
        <v>152</v>
      </c>
      <c r="CP5" s="88" t="s">
        <v>153</v>
      </c>
      <c r="CQ5" s="88" t="s">
        <v>154</v>
      </c>
      <c r="CR5" s="88" t="s">
        <v>155</v>
      </c>
      <c r="CS5" s="88" t="s">
        <v>151</v>
      </c>
      <c r="CT5" s="88" t="s">
        <v>152</v>
      </c>
      <c r="CU5" s="88" t="s">
        <v>153</v>
      </c>
      <c r="CV5" s="88" t="s">
        <v>154</v>
      </c>
      <c r="CW5" s="88" t="s">
        <v>155</v>
      </c>
      <c r="CX5" s="88" t="s">
        <v>151</v>
      </c>
      <c r="CY5" s="88" t="s">
        <v>152</v>
      </c>
      <c r="CZ5" s="88" t="s">
        <v>153</v>
      </c>
      <c r="DA5" s="88" t="s">
        <v>154</v>
      </c>
      <c r="DB5" s="88" t="s">
        <v>155</v>
      </c>
      <c r="DC5" s="88" t="s">
        <v>151</v>
      </c>
      <c r="DD5" s="88" t="s">
        <v>152</v>
      </c>
      <c r="DE5" s="88" t="s">
        <v>153</v>
      </c>
      <c r="DF5" s="88" t="s">
        <v>154</v>
      </c>
      <c r="DG5" s="88" t="s">
        <v>155</v>
      </c>
      <c r="DH5" s="88" t="s">
        <v>151</v>
      </c>
      <c r="DI5" s="88" t="s">
        <v>152</v>
      </c>
      <c r="DJ5" s="88" t="s">
        <v>153</v>
      </c>
      <c r="DK5" s="88" t="s">
        <v>154</v>
      </c>
      <c r="DL5" s="88" t="s">
        <v>155</v>
      </c>
      <c r="DM5" s="88" t="s">
        <v>151</v>
      </c>
      <c r="DN5" s="88" t="s">
        <v>152</v>
      </c>
      <c r="DO5" s="88" t="s">
        <v>153</v>
      </c>
      <c r="DP5" s="88" t="s">
        <v>154</v>
      </c>
      <c r="DQ5" s="88" t="s">
        <v>155</v>
      </c>
      <c r="DR5" s="88" t="s">
        <v>151</v>
      </c>
      <c r="DS5" s="88" t="s">
        <v>152</v>
      </c>
      <c r="DT5" s="88" t="s">
        <v>153</v>
      </c>
      <c r="DU5" s="88" t="s">
        <v>154</v>
      </c>
      <c r="DV5" s="88" t="s">
        <v>155</v>
      </c>
      <c r="DW5" s="88" t="s">
        <v>151</v>
      </c>
      <c r="DX5" s="88" t="s">
        <v>152</v>
      </c>
      <c r="DY5" s="88" t="s">
        <v>153</v>
      </c>
      <c r="DZ5" s="88" t="s">
        <v>154</v>
      </c>
      <c r="EA5" s="88" t="s">
        <v>155</v>
      </c>
      <c r="EB5" s="88" t="s">
        <v>151</v>
      </c>
      <c r="EC5" s="88" t="s">
        <v>152</v>
      </c>
      <c r="ED5" s="88" t="s">
        <v>153</v>
      </c>
      <c r="EE5" s="88" t="s">
        <v>154</v>
      </c>
      <c r="EF5" s="88" t="s">
        <v>155</v>
      </c>
      <c r="EG5" s="88" t="s">
        <v>151</v>
      </c>
      <c r="EH5" s="88" t="s">
        <v>152</v>
      </c>
      <c r="EI5" s="88" t="s">
        <v>153</v>
      </c>
      <c r="EJ5" s="88" t="s">
        <v>154</v>
      </c>
      <c r="EK5" s="88" t="s">
        <v>155</v>
      </c>
      <c r="EL5" s="88" t="s">
        <v>151</v>
      </c>
      <c r="EM5" s="88" t="s">
        <v>152</v>
      </c>
      <c r="EN5" s="88" t="s">
        <v>153</v>
      </c>
      <c r="EO5" s="88" t="s">
        <v>154</v>
      </c>
      <c r="EP5" s="88" t="s">
        <v>155</v>
      </c>
      <c r="EQ5" s="88" t="s">
        <v>151</v>
      </c>
      <c r="ER5" s="88" t="s">
        <v>152</v>
      </c>
      <c r="ES5" s="88" t="s">
        <v>153</v>
      </c>
      <c r="ET5" s="88" t="s">
        <v>154</v>
      </c>
      <c r="EU5" s="88" t="s">
        <v>155</v>
      </c>
      <c r="EV5" s="88" t="s">
        <v>151</v>
      </c>
      <c r="EW5" s="88" t="s">
        <v>152</v>
      </c>
      <c r="EX5" s="88" t="s">
        <v>153</v>
      </c>
      <c r="EY5" s="88" t="s">
        <v>154</v>
      </c>
      <c r="EZ5" s="88" t="s">
        <v>155</v>
      </c>
      <c r="FA5" s="88" t="s">
        <v>151</v>
      </c>
      <c r="FB5" s="88" t="s">
        <v>152</v>
      </c>
      <c r="FC5" s="88" t="s">
        <v>153</v>
      </c>
      <c r="FD5" s="88" t="s">
        <v>154</v>
      </c>
      <c r="FE5" s="88" t="s">
        <v>155</v>
      </c>
      <c r="FF5" s="88" t="s">
        <v>151</v>
      </c>
      <c r="FG5" s="88" t="s">
        <v>152</v>
      </c>
      <c r="FH5" s="88" t="s">
        <v>153</v>
      </c>
      <c r="FI5" s="88" t="s">
        <v>154</v>
      </c>
      <c r="FJ5" s="88" t="s">
        <v>155</v>
      </c>
      <c r="FK5" s="88" t="s">
        <v>151</v>
      </c>
      <c r="FL5" s="88" t="s">
        <v>152</v>
      </c>
      <c r="FM5" s="88" t="s">
        <v>153</v>
      </c>
      <c r="FN5" s="88" t="s">
        <v>154</v>
      </c>
      <c r="FO5" s="88" t="s">
        <v>155</v>
      </c>
      <c r="FP5" s="88" t="s">
        <v>151</v>
      </c>
      <c r="FQ5" s="88" t="s">
        <v>152</v>
      </c>
      <c r="FR5" s="88" t="s">
        <v>153</v>
      </c>
      <c r="FS5" s="88" t="s">
        <v>154</v>
      </c>
      <c r="FT5" s="88" t="s">
        <v>155</v>
      </c>
      <c r="FU5" s="88" t="s">
        <v>151</v>
      </c>
      <c r="FV5" s="88" t="s">
        <v>152</v>
      </c>
      <c r="FW5" s="88" t="s">
        <v>153</v>
      </c>
      <c r="FX5" s="88" t="s">
        <v>154</v>
      </c>
      <c r="FY5" s="88" t="s">
        <v>155</v>
      </c>
      <c r="FZ5" s="88" t="s">
        <v>151</v>
      </c>
      <c r="GA5" s="88" t="s">
        <v>152</v>
      </c>
      <c r="GB5" s="88" t="s">
        <v>153</v>
      </c>
      <c r="GC5" s="88" t="s">
        <v>154</v>
      </c>
      <c r="GD5" s="88" t="s">
        <v>155</v>
      </c>
      <c r="GE5" s="88" t="s">
        <v>151</v>
      </c>
      <c r="GF5" s="88" t="s">
        <v>152</v>
      </c>
      <c r="GG5" s="88" t="s">
        <v>153</v>
      </c>
      <c r="GH5" s="88" t="s">
        <v>154</v>
      </c>
      <c r="GI5" s="88" t="s">
        <v>155</v>
      </c>
      <c r="GJ5" s="88" t="s">
        <v>151</v>
      </c>
      <c r="GK5" s="88" t="s">
        <v>152</v>
      </c>
      <c r="GL5" s="88" t="s">
        <v>153</v>
      </c>
      <c r="GM5" s="88" t="s">
        <v>154</v>
      </c>
      <c r="GN5" s="88" t="s">
        <v>155</v>
      </c>
      <c r="GO5" s="88" t="s">
        <v>151</v>
      </c>
      <c r="GP5" s="88" t="s">
        <v>152</v>
      </c>
      <c r="GQ5" s="88" t="s">
        <v>153</v>
      </c>
      <c r="GR5" s="88" t="s">
        <v>154</v>
      </c>
      <c r="GS5" s="88" t="s">
        <v>155</v>
      </c>
      <c r="GT5" s="88" t="s">
        <v>151</v>
      </c>
      <c r="GU5" s="88" t="s">
        <v>152</v>
      </c>
      <c r="GV5" s="88" t="s">
        <v>153</v>
      </c>
      <c r="GW5" s="88" t="s">
        <v>154</v>
      </c>
      <c r="GX5" s="88" t="s">
        <v>155</v>
      </c>
      <c r="GY5" s="88" t="s">
        <v>151</v>
      </c>
      <c r="GZ5" s="88" t="s">
        <v>152</v>
      </c>
      <c r="HA5" s="88" t="s">
        <v>153</v>
      </c>
      <c r="HB5" s="88" t="s">
        <v>154</v>
      </c>
      <c r="HC5" s="88" t="s">
        <v>155</v>
      </c>
      <c r="HD5" s="88" t="s">
        <v>151</v>
      </c>
      <c r="HE5" s="88" t="s">
        <v>152</v>
      </c>
      <c r="HF5" s="88" t="s">
        <v>153</v>
      </c>
      <c r="HG5" s="88" t="s">
        <v>154</v>
      </c>
      <c r="HH5" s="88" t="s">
        <v>155</v>
      </c>
      <c r="HI5" s="88" t="s">
        <v>151</v>
      </c>
      <c r="HJ5" s="88" t="s">
        <v>152</v>
      </c>
      <c r="HK5" s="88" t="s">
        <v>153</v>
      </c>
      <c r="HL5" s="88" t="s">
        <v>154</v>
      </c>
      <c r="HM5" s="88" t="s">
        <v>155</v>
      </c>
      <c r="HN5" s="88" t="s">
        <v>151</v>
      </c>
      <c r="HO5" s="88" t="s">
        <v>152</v>
      </c>
      <c r="HP5" s="88" t="s">
        <v>153</v>
      </c>
      <c r="HQ5" s="88" t="s">
        <v>154</v>
      </c>
      <c r="HR5" s="88" t="s">
        <v>155</v>
      </c>
      <c r="HS5" s="88" t="s">
        <v>151</v>
      </c>
      <c r="HT5" s="88" t="s">
        <v>152</v>
      </c>
      <c r="HU5" s="88" t="s">
        <v>153</v>
      </c>
      <c r="HV5" s="88" t="s">
        <v>154</v>
      </c>
      <c r="HW5" s="88" t="s">
        <v>155</v>
      </c>
      <c r="HX5" s="88" t="s">
        <v>151</v>
      </c>
      <c r="HY5" s="88" t="s">
        <v>152</v>
      </c>
      <c r="HZ5" s="88" t="s">
        <v>153</v>
      </c>
      <c r="IA5" s="88" t="s">
        <v>154</v>
      </c>
      <c r="IB5" s="88" t="s">
        <v>155</v>
      </c>
      <c r="IC5" s="88" t="s">
        <v>151</v>
      </c>
      <c r="ID5" s="88" t="s">
        <v>152</v>
      </c>
      <c r="IE5" s="88" t="s">
        <v>153</v>
      </c>
      <c r="IF5" s="88" t="s">
        <v>154</v>
      </c>
      <c r="IG5" s="88" t="s">
        <v>155</v>
      </c>
      <c r="IH5" s="88" t="s">
        <v>151</v>
      </c>
      <c r="II5" s="88" t="s">
        <v>152</v>
      </c>
      <c r="IJ5" s="88" t="s">
        <v>153</v>
      </c>
      <c r="IK5" s="88" t="s">
        <v>154</v>
      </c>
      <c r="IL5" s="88" t="s">
        <v>155</v>
      </c>
      <c r="IM5" s="88" t="s">
        <v>151</v>
      </c>
      <c r="IN5" s="88" t="s">
        <v>152</v>
      </c>
      <c r="IO5" s="88" t="s">
        <v>153</v>
      </c>
      <c r="IP5" s="88" t="s">
        <v>154</v>
      </c>
      <c r="IQ5" s="88" t="s">
        <v>155</v>
      </c>
      <c r="IR5" s="88" t="s">
        <v>151</v>
      </c>
      <c r="IS5" s="88" t="s">
        <v>152</v>
      </c>
      <c r="IT5" s="88" t="s">
        <v>153</v>
      </c>
      <c r="IU5" s="88" t="s">
        <v>154</v>
      </c>
      <c r="IV5" s="88" t="s">
        <v>155</v>
      </c>
      <c r="IW5" s="88" t="s">
        <v>151</v>
      </c>
      <c r="IX5" s="88" t="s">
        <v>152</v>
      </c>
      <c r="IY5" s="88" t="s">
        <v>153</v>
      </c>
      <c r="IZ5" s="88" t="s">
        <v>154</v>
      </c>
      <c r="JA5" s="88" t="s">
        <v>155</v>
      </c>
      <c r="JB5" s="88" t="s">
        <v>151</v>
      </c>
      <c r="JC5" s="88" t="s">
        <v>152</v>
      </c>
      <c r="JD5" s="88" t="s">
        <v>153</v>
      </c>
      <c r="JE5" s="88" t="s">
        <v>154</v>
      </c>
      <c r="JF5" s="88" t="s">
        <v>155</v>
      </c>
      <c r="JG5" s="88" t="s">
        <v>151</v>
      </c>
      <c r="JH5" s="88" t="s">
        <v>152</v>
      </c>
      <c r="JI5" s="88" t="s">
        <v>153</v>
      </c>
      <c r="JJ5" s="88" t="s">
        <v>154</v>
      </c>
      <c r="JK5" s="88" t="s">
        <v>155</v>
      </c>
      <c r="JL5" s="88" t="s">
        <v>151</v>
      </c>
      <c r="JM5" s="88" t="s">
        <v>152</v>
      </c>
      <c r="JN5" s="88" t="s">
        <v>153</v>
      </c>
      <c r="JO5" s="88" t="s">
        <v>154</v>
      </c>
      <c r="JP5" s="88" t="s">
        <v>155</v>
      </c>
      <c r="JQ5" s="88" t="s">
        <v>151</v>
      </c>
      <c r="JR5" s="88" t="s">
        <v>152</v>
      </c>
      <c r="JS5" s="88" t="s">
        <v>153</v>
      </c>
      <c r="JT5" s="88" t="s">
        <v>154</v>
      </c>
      <c r="JU5" s="88" t="s">
        <v>155</v>
      </c>
      <c r="JV5" s="88" t="s">
        <v>151</v>
      </c>
      <c r="JW5" s="88" t="s">
        <v>152</v>
      </c>
      <c r="JX5" s="88" t="s">
        <v>153</v>
      </c>
      <c r="JY5" s="88" t="s">
        <v>154</v>
      </c>
      <c r="JZ5" s="88" t="s">
        <v>155</v>
      </c>
      <c r="KA5" s="88" t="s">
        <v>151</v>
      </c>
      <c r="KB5" s="88" t="s">
        <v>152</v>
      </c>
      <c r="KC5" s="88" t="s">
        <v>153</v>
      </c>
      <c r="KD5" s="88" t="s">
        <v>154</v>
      </c>
      <c r="KE5" s="88" t="s">
        <v>155</v>
      </c>
      <c r="KF5" s="88" t="s">
        <v>151</v>
      </c>
      <c r="KG5" s="88" t="s">
        <v>152</v>
      </c>
    </row>
    <row r="7" spans="1:293" ht="18.75" customHeight="1" thickBot="1" x14ac:dyDescent="0.35">
      <c r="C7" s="397"/>
      <c r="D7" s="397"/>
      <c r="E7" s="397"/>
      <c r="F7" s="397"/>
      <c r="G7" s="397"/>
    </row>
    <row r="8" spans="1:293" ht="15.75" customHeight="1" thickBot="1" x14ac:dyDescent="0.3">
      <c r="A8" s="89" t="s">
        <v>156</v>
      </c>
      <c r="C8" s="90" t="s">
        <v>157</v>
      </c>
      <c r="D8" s="90" t="s">
        <v>158</v>
      </c>
      <c r="E8" s="91"/>
      <c r="F8" s="91" t="s">
        <v>159</v>
      </c>
      <c r="G8" s="90" t="s">
        <v>160</v>
      </c>
      <c r="I8" s="82" t="s">
        <v>161</v>
      </c>
      <c r="M8" s="92" t="s">
        <v>162</v>
      </c>
      <c r="N8" s="93" t="s">
        <v>163</v>
      </c>
      <c r="O8" s="93" t="s">
        <v>163</v>
      </c>
      <c r="P8" s="93" t="s">
        <v>163</v>
      </c>
      <c r="Q8" s="93" t="s">
        <v>163</v>
      </c>
    </row>
    <row r="9" spans="1:293" ht="15.75" thickBot="1" x14ac:dyDescent="0.3">
      <c r="A9" s="94">
        <v>1</v>
      </c>
      <c r="C9" s="95">
        <v>10000</v>
      </c>
      <c r="D9" s="95">
        <v>10000</v>
      </c>
      <c r="E9" s="96"/>
      <c r="F9" s="97">
        <v>2</v>
      </c>
      <c r="G9" s="98">
        <f>C9/F9</f>
        <v>5000</v>
      </c>
      <c r="I9" s="82" t="s">
        <v>164</v>
      </c>
      <c r="R9" s="99" t="s">
        <v>165</v>
      </c>
      <c r="S9" s="99" t="s">
        <v>165</v>
      </c>
      <c r="T9" s="99" t="s">
        <v>165</v>
      </c>
      <c r="U9" s="99" t="s">
        <v>165</v>
      </c>
      <c r="V9" s="99" t="s">
        <v>165</v>
      </c>
      <c r="W9" s="99" t="s">
        <v>165</v>
      </c>
      <c r="X9" s="99" t="s">
        <v>165</v>
      </c>
      <c r="Y9" s="99" t="s">
        <v>165</v>
      </c>
      <c r="Z9" s="99" t="s">
        <v>165</v>
      </c>
    </row>
    <row r="10" spans="1:293" ht="15.75" thickTop="1" x14ac:dyDescent="0.25">
      <c r="C10" s="100"/>
      <c r="D10" s="100" t="s">
        <v>166</v>
      </c>
      <c r="E10" s="100" t="s">
        <v>167</v>
      </c>
      <c r="F10" s="101" t="s">
        <v>30</v>
      </c>
      <c r="G10" s="102" t="s">
        <v>168</v>
      </c>
      <c r="I10" s="82" t="s">
        <v>169</v>
      </c>
      <c r="R10" s="103" t="s">
        <v>170</v>
      </c>
      <c r="S10" s="103" t="s">
        <v>170</v>
      </c>
      <c r="T10" s="103" t="s">
        <v>170</v>
      </c>
      <c r="U10" s="103" t="s">
        <v>170</v>
      </c>
      <c r="V10" s="103" t="s">
        <v>170</v>
      </c>
      <c r="W10" s="103" t="s">
        <v>170</v>
      </c>
      <c r="X10" s="103" t="s">
        <v>170</v>
      </c>
      <c r="Y10" s="103" t="s">
        <v>170</v>
      </c>
      <c r="Z10" s="103" t="s">
        <v>170</v>
      </c>
    </row>
    <row r="11" spans="1:293" x14ac:dyDescent="0.25">
      <c r="A11" s="82">
        <v>1</v>
      </c>
      <c r="C11" s="104" t="s">
        <v>171</v>
      </c>
      <c r="D11" s="105">
        <v>425</v>
      </c>
      <c r="E11" s="106">
        <f>(D11*A11)*8</f>
        <v>3400</v>
      </c>
      <c r="F11" s="107">
        <f>C9/E11</f>
        <v>2.9411764705882355</v>
      </c>
      <c r="G11" s="107">
        <f>F11/22</f>
        <v>0.13368983957219252</v>
      </c>
      <c r="AA11" s="108" t="s">
        <v>172</v>
      </c>
      <c r="AB11" s="108" t="s">
        <v>172</v>
      </c>
      <c r="AC11" s="108" t="s">
        <v>172</v>
      </c>
      <c r="AD11" s="108" t="s">
        <v>172</v>
      </c>
      <c r="AE11" s="108" t="s">
        <v>172</v>
      </c>
      <c r="AF11" s="108" t="s">
        <v>172</v>
      </c>
      <c r="AG11" s="108" t="s">
        <v>172</v>
      </c>
      <c r="AH11" s="109" t="s">
        <v>173</v>
      </c>
    </row>
    <row r="12" spans="1:293" x14ac:dyDescent="0.25">
      <c r="A12" s="82">
        <v>1</v>
      </c>
      <c r="C12" s="110" t="s">
        <v>64</v>
      </c>
      <c r="D12" s="105">
        <v>165</v>
      </c>
      <c r="E12" s="106">
        <f>(D12*A12)*8</f>
        <v>1320</v>
      </c>
      <c r="F12" s="107">
        <f>C9/E12</f>
        <v>7.5757575757575761</v>
      </c>
      <c r="G12" s="107">
        <f>F12/22</f>
        <v>0.34435261707988984</v>
      </c>
    </row>
    <row r="13" spans="1:293" x14ac:dyDescent="0.25">
      <c r="A13" s="82">
        <v>1</v>
      </c>
      <c r="C13" s="111" t="s">
        <v>174</v>
      </c>
      <c r="D13" s="105">
        <v>165</v>
      </c>
      <c r="E13" s="106">
        <f>(D13*A13)*8</f>
        <v>1320</v>
      </c>
      <c r="F13" s="107">
        <f>C9/E13</f>
        <v>7.5757575757575761</v>
      </c>
      <c r="G13" s="107">
        <f t="shared" ref="G13:G14" si="0">F13/22</f>
        <v>0.34435261707988984</v>
      </c>
    </row>
    <row r="14" spans="1:293" x14ac:dyDescent="0.25">
      <c r="A14" s="82">
        <v>1</v>
      </c>
      <c r="C14" s="112" t="s">
        <v>175</v>
      </c>
      <c r="D14" s="105">
        <v>100</v>
      </c>
      <c r="E14" s="106">
        <f>(D14*A14)*8</f>
        <v>800</v>
      </c>
      <c r="F14" s="107">
        <f>G9/E14</f>
        <v>6.25</v>
      </c>
      <c r="G14" s="107">
        <f t="shared" si="0"/>
        <v>0.28409090909090912</v>
      </c>
      <c r="J14" s="113"/>
      <c r="K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spans="1:293" x14ac:dyDescent="0.25">
      <c r="E15" s="114" t="s">
        <v>35</v>
      </c>
      <c r="F15" s="115">
        <f>F11+F14</f>
        <v>9.1911764705882355</v>
      </c>
      <c r="G15" s="116">
        <f>F15/22</f>
        <v>0.41778074866310161</v>
      </c>
      <c r="I15" s="82" t="s">
        <v>176</v>
      </c>
      <c r="J15" s="113"/>
      <c r="K15" s="113"/>
      <c r="M15" s="113" t="s">
        <v>177</v>
      </c>
      <c r="N15" s="113" t="s">
        <v>177</v>
      </c>
      <c r="O15" s="113" t="s">
        <v>177</v>
      </c>
      <c r="P15" s="113" t="s">
        <v>177</v>
      </c>
      <c r="Q15" s="113" t="s">
        <v>177</v>
      </c>
      <c r="R15" s="113" t="s">
        <v>177</v>
      </c>
      <c r="S15" s="113" t="s">
        <v>177</v>
      </c>
      <c r="T15" s="113" t="s">
        <v>177</v>
      </c>
      <c r="U15" s="113" t="s">
        <v>177</v>
      </c>
      <c r="V15" s="113" t="s">
        <v>177</v>
      </c>
      <c r="W15" s="113" t="s">
        <v>177</v>
      </c>
      <c r="X15" s="113" t="s">
        <v>177</v>
      </c>
      <c r="Y15" s="113" t="s">
        <v>177</v>
      </c>
      <c r="Z15" s="113" t="s">
        <v>177</v>
      </c>
      <c r="AA15" s="113" t="s">
        <v>177</v>
      </c>
      <c r="AB15" s="113" t="s">
        <v>177</v>
      </c>
      <c r="AC15" s="113" t="s">
        <v>177</v>
      </c>
      <c r="AD15" s="113" t="s">
        <v>177</v>
      </c>
      <c r="AE15" s="113" t="s">
        <v>177</v>
      </c>
      <c r="AF15" s="113" t="s">
        <v>177</v>
      </c>
      <c r="AG15" s="113" t="s">
        <v>177</v>
      </c>
      <c r="AH15" s="113" t="s">
        <v>177</v>
      </c>
    </row>
    <row r="16" spans="1:293" x14ac:dyDescent="0.25">
      <c r="E16" s="36" t="s">
        <v>178</v>
      </c>
      <c r="F16" s="107">
        <f>F15+2</f>
        <v>11.191176470588236</v>
      </c>
      <c r="G16" s="117">
        <f>F16/22</f>
        <v>0.50868983957219249</v>
      </c>
    </row>
    <row r="17" spans="3:7" ht="15.75" thickBot="1" x14ac:dyDescent="0.3">
      <c r="E17" s="118"/>
      <c r="F17" s="118"/>
    </row>
    <row r="18" spans="3:7" ht="15.75" customHeight="1" thickBot="1" x14ac:dyDescent="0.3">
      <c r="E18" s="118"/>
      <c r="F18" s="119"/>
      <c r="G18" s="120" t="s">
        <v>179</v>
      </c>
    </row>
    <row r="19" spans="3:7" ht="15.75" thickBot="1" x14ac:dyDescent="0.3">
      <c r="E19" s="118"/>
      <c r="F19" s="121" t="s">
        <v>180</v>
      </c>
      <c r="G19" s="122"/>
    </row>
    <row r="20" spans="3:7" ht="15.75" thickBot="1" x14ac:dyDescent="0.3">
      <c r="E20" s="118"/>
      <c r="F20" s="118"/>
    </row>
    <row r="21" spans="3:7" ht="15.75" thickBot="1" x14ac:dyDescent="0.3">
      <c r="C21" s="123" t="s">
        <v>181</v>
      </c>
      <c r="D21" s="124"/>
    </row>
    <row r="22" spans="3:7" ht="15.75" thickBot="1" x14ac:dyDescent="0.3">
      <c r="C22" s="123" t="s">
        <v>182</v>
      </c>
      <c r="D22" s="124"/>
    </row>
    <row r="23" spans="3:7" ht="15.75" thickBot="1" x14ac:dyDescent="0.3">
      <c r="C23" s="125" t="s">
        <v>183</v>
      </c>
      <c r="D23" s="126">
        <v>1</v>
      </c>
    </row>
    <row r="24" spans="3:7" ht="15.75" thickBot="1" x14ac:dyDescent="0.3">
      <c r="C24" s="127" t="s">
        <v>30</v>
      </c>
      <c r="D24" s="128">
        <v>22</v>
      </c>
    </row>
    <row r="27" spans="3:7" x14ac:dyDescent="0.25">
      <c r="C27" s="36" t="s">
        <v>184</v>
      </c>
    </row>
    <row r="28" spans="3:7" x14ac:dyDescent="0.25">
      <c r="C28" s="129" t="s">
        <v>185</v>
      </c>
    </row>
    <row r="29" spans="3:7" x14ac:dyDescent="0.25">
      <c r="C29" s="129" t="s">
        <v>186</v>
      </c>
    </row>
  </sheetData>
  <mergeCells count="16">
    <mergeCell ref="IQ3:JL3"/>
    <mergeCell ref="JM3:KG3"/>
    <mergeCell ref="C4:G4"/>
    <mergeCell ref="C7:G7"/>
    <mergeCell ref="DQ3:EL3"/>
    <mergeCell ref="EM3:FH3"/>
    <mergeCell ref="FI3:GB3"/>
    <mergeCell ref="GC3:GY3"/>
    <mergeCell ref="GZ3:HS3"/>
    <mergeCell ref="HT3:IP3"/>
    <mergeCell ref="C3:G3"/>
    <mergeCell ref="L3:AF3"/>
    <mergeCell ref="AG3:BC3"/>
    <mergeCell ref="BD3:BY3"/>
    <mergeCell ref="BZ3:CT3"/>
    <mergeCell ref="CU3:DP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Analisis Costo carpetas Bennett</vt:lpstr>
      <vt:lpstr>Analisis Costo carpetas manila</vt:lpstr>
      <vt:lpstr>Analisis Costo Total</vt:lpstr>
      <vt:lpstr>Analisis de Costo Radicación </vt:lpstr>
      <vt:lpstr>Rendimiento Ecogal</vt:lpstr>
      <vt:lpstr>Rendimiento Samsung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Asesor Comercial</cp:lastModifiedBy>
  <cp:lastPrinted>2015-12-23T20:01:33Z</cp:lastPrinted>
  <dcterms:created xsi:type="dcterms:W3CDTF">2009-04-21T01:08:50Z</dcterms:created>
  <dcterms:modified xsi:type="dcterms:W3CDTF">2018-03-26T22:27:06Z</dcterms:modified>
</cp:coreProperties>
</file>