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s UIO\Propuestas Veronica\Los Alpes\"/>
    </mc:Choice>
  </mc:AlternateContent>
  <xr:revisionPtr revIDLastSave="29" documentId="8_{8CC892BC-A452-40D2-A692-693080E3F6C7}" xr6:coauthVersionLast="28" xr6:coauthVersionMax="28" xr10:uidLastSave="{5C765D01-91D4-4F50-957E-DDF863411391}"/>
  <bookViews>
    <workbookView xWindow="0" yWindow="0" windowWidth="19200" windowHeight="7930" tabRatio="775" xr2:uid="{00000000-000D-0000-FFFF-FFFF00000000}"/>
  </bookViews>
  <sheets>
    <sheet name="Ordenamiento Normal" sheetId="4" r:id="rId1"/>
    <sheet name="QUITO" sheetId="13" r:id="rId2"/>
    <sheet name="GYE" sheetId="14" state="hidden" r:id="rId3"/>
    <sheet name="Amortizacion de cajas" sheetId="9" r:id="rId4"/>
  </sheets>
  <calcPr calcId="171027" concurrentCalc="0"/>
  <fileRecoveryPr autoRecover="0"/>
</workbook>
</file>

<file path=xl/calcChain.xml><?xml version="1.0" encoding="utf-8"?>
<calcChain xmlns="http://schemas.openxmlformats.org/spreadsheetml/2006/main">
  <c r="G20" i="4" l="1"/>
  <c r="Q19" i="4"/>
  <c r="C7" i="4"/>
  <c r="K25" i="4"/>
  <c r="K26" i="4"/>
  <c r="K21" i="4"/>
  <c r="C5" i="4"/>
  <c r="N18" i="4"/>
  <c r="M18" i="4"/>
  <c r="D7" i="4"/>
  <c r="E7" i="4"/>
  <c r="F7" i="4"/>
  <c r="G7" i="4"/>
  <c r="E6" i="4"/>
  <c r="F6" i="4"/>
  <c r="C6" i="4"/>
  <c r="G6" i="4"/>
  <c r="R10" i="4"/>
  <c r="C9" i="4"/>
  <c r="C16" i="4"/>
  <c r="D16" i="4"/>
  <c r="K12" i="4"/>
  <c r="R12" i="4"/>
  <c r="R13" i="4"/>
  <c r="R11" i="4"/>
  <c r="R9" i="4"/>
  <c r="R8" i="4"/>
  <c r="R5" i="4"/>
  <c r="K4" i="4"/>
  <c r="K22" i="4"/>
  <c r="D8" i="4"/>
  <c r="E8" i="4"/>
  <c r="R14" i="4"/>
  <c r="K9" i="4"/>
  <c r="L18" i="4"/>
  <c r="K18" i="4"/>
  <c r="C8" i="4"/>
  <c r="K10" i="4"/>
  <c r="K11" i="4"/>
  <c r="K13" i="4"/>
  <c r="K14" i="4"/>
  <c r="E27" i="4"/>
  <c r="G27" i="4"/>
  <c r="F8" i="4"/>
  <c r="G8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3" i="13"/>
  <c r="E5" i="13"/>
  <c r="E14" i="13"/>
  <c r="E16" i="13"/>
  <c r="E18" i="13"/>
  <c r="E20" i="13"/>
  <c r="D3" i="13"/>
  <c r="D4" i="13"/>
  <c r="E4" i="13"/>
  <c r="D5" i="13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D15" i="13"/>
  <c r="E15" i="13"/>
  <c r="D16" i="13"/>
  <c r="D17" i="13"/>
  <c r="E17" i="13"/>
  <c r="D18" i="13"/>
  <c r="D19" i="13"/>
  <c r="E19" i="13"/>
  <c r="D20" i="13"/>
  <c r="D2" i="13"/>
  <c r="E2" i="13"/>
  <c r="E18" i="4"/>
  <c r="F18" i="4"/>
  <c r="E17" i="4"/>
  <c r="E16" i="4"/>
  <c r="F16" i="4"/>
  <c r="G16" i="4"/>
  <c r="E9" i="4"/>
  <c r="F9" i="4"/>
  <c r="G9" i="4"/>
  <c r="E5" i="4"/>
  <c r="F5" i="4"/>
  <c r="G5" i="4"/>
  <c r="F17" i="4"/>
  <c r="G17" i="4"/>
  <c r="G18" i="4"/>
  <c r="G29" i="4"/>
  <c r="G30" i="4"/>
  <c r="G9" i="9"/>
  <c r="G19" i="4"/>
  <c r="G21" i="4"/>
  <c r="G22" i="4"/>
  <c r="G10" i="4"/>
  <c r="G11" i="4"/>
  <c r="G1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<sst xmlns="http://schemas.openxmlformats.org/spreadsheetml/2006/main" count="206" uniqueCount="122">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</sst>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166" fontId="14" fillId="5" borderId="19" xfId="0" applyNumberFormat="1" applyFont="1" applyFill="1" applyBorder="1"/>
    <xf numFmtId="166" fontId="14" fillId="0" borderId="20" xfId="0" applyNumberFormat="1" applyFont="1" applyFill="1" applyBorder="1"/>
    <xf numFmtId="166" fontId="15" fillId="11" borderId="21" xfId="0" applyNumberFormat="1" applyFont="1" applyFill="1" applyBorder="1"/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2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167" fontId="15" fillId="5" borderId="4" xfId="0" applyNumberFormat="1" applyFont="1" applyFill="1" applyBorder="1"/>
    <xf numFmtId="0" fontId="14" fillId="0" borderId="2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/>
    </xf>
    <xf numFmtId="1" fontId="23" fillId="2" borderId="17" xfId="0" applyNumberFormat="1" applyFont="1" applyFill="1" applyBorder="1"/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30"/>
  <sheetViews>
    <sheetView tabSelected="1" topLeftCell="A6" zoomScale="110" zoomScaleNormal="110" workbookViewId="0">
      <selection activeCell="I16" sqref="I16"/>
    </sheetView>
  </sheetViews>
  <sheetFormatPr baseColWidth="10" defaultRowHeight="13" x14ac:dyDescent="0.3"/>
  <cols>
    <col min="1" max="1" width="10.90625" style="60"/>
    <col min="2" max="2" width="42.453125" style="60" bestFit="1" customWidth="1"/>
    <col min="3" max="3" width="8.54296875" style="60" bestFit="1" customWidth="1"/>
    <col min="4" max="4" width="11.6328125" style="60" hidden="1" customWidth="1"/>
    <col min="5" max="5" width="15.81640625" style="60" hidden="1" customWidth="1"/>
    <col min="6" max="6" width="15.81640625" style="60" customWidth="1"/>
    <col min="7" max="7" width="11" style="60" bestFit="1" customWidth="1"/>
    <col min="8" max="8" width="4.54296875" style="60" bestFit="1" customWidth="1"/>
    <col min="9" max="9" width="10.90625" style="60"/>
    <col min="10" max="10" width="16.7265625" style="60" bestFit="1" customWidth="1"/>
    <col min="11" max="11" width="11.1796875" style="60" bestFit="1" customWidth="1"/>
    <col min="12" max="12" width="9.54296875" style="60" bestFit="1" customWidth="1"/>
    <col min="13" max="15" width="10.90625" style="60"/>
    <col min="16" max="16" width="22.1796875" style="60" customWidth="1"/>
    <col min="17" max="17" width="7" style="61" customWidth="1"/>
    <col min="18" max="18" width="8.6328125" style="60" customWidth="1"/>
    <col min="19" max="16384" width="10.90625" style="60"/>
  </cols>
  <sheetData>
    <row r="2" spans="2:18" ht="13.5" thickBot="1" x14ac:dyDescent="0.35"/>
    <row r="3" spans="2:18" ht="15" thickBot="1" x14ac:dyDescent="0.4">
      <c r="B3" s="132" t="s">
        <v>80</v>
      </c>
      <c r="C3" s="133"/>
      <c r="D3" s="133"/>
      <c r="E3" s="133"/>
      <c r="F3" s="133"/>
      <c r="G3" s="134"/>
      <c r="J3" s="62" t="s">
        <v>87</v>
      </c>
      <c r="K3" s="114">
        <v>7</v>
      </c>
      <c r="P3" s="125" t="s">
        <v>100</v>
      </c>
      <c r="Q3" s="126"/>
      <c r="R3" s="127"/>
    </row>
    <row r="4" spans="2:18" ht="15" customHeight="1" thickBot="1" x14ac:dyDescent="0.4">
      <c r="B4" s="64" t="s">
        <v>0</v>
      </c>
      <c r="C4" s="65" t="s">
        <v>6</v>
      </c>
      <c r="D4" s="65" t="s">
        <v>1</v>
      </c>
      <c r="E4" s="66">
        <v>0.6</v>
      </c>
      <c r="F4" s="66"/>
      <c r="G4" s="67" t="s">
        <v>2</v>
      </c>
      <c r="J4" s="62" t="s">
        <v>93</v>
      </c>
      <c r="K4" s="68">
        <f>R13/22</f>
        <v>24.794651515151518</v>
      </c>
      <c r="M4" s="69"/>
      <c r="N4" s="69"/>
      <c r="P4" s="130" t="s">
        <v>101</v>
      </c>
      <c r="Q4" s="131"/>
      <c r="R4" s="44">
        <v>386</v>
      </c>
    </row>
    <row r="5" spans="2:18" ht="13.5" thickBot="1" x14ac:dyDescent="0.35">
      <c r="B5" s="70" t="s">
        <v>97</v>
      </c>
      <c r="C5" s="71">
        <f>K17+L17+M17+N17</f>
        <v>120</v>
      </c>
      <c r="D5" s="72">
        <v>1.1000000000000001</v>
      </c>
      <c r="E5" s="72">
        <f>D5*$E$4</f>
        <v>0.66</v>
      </c>
      <c r="F5" s="72">
        <f>D5+E5</f>
        <v>1.7600000000000002</v>
      </c>
      <c r="G5" s="73">
        <f>F5*C5</f>
        <v>211.20000000000002</v>
      </c>
      <c r="J5" s="62" t="s">
        <v>92</v>
      </c>
      <c r="K5" s="68">
        <v>3</v>
      </c>
      <c r="P5" s="47" t="s">
        <v>102</v>
      </c>
      <c r="Q5" s="48">
        <v>12</v>
      </c>
      <c r="R5" s="49">
        <f>$R$4/Q5</f>
        <v>32.166666666666664</v>
      </c>
    </row>
    <row r="6" spans="2:18" ht="13.5" thickBot="1" x14ac:dyDescent="0.35">
      <c r="B6" s="74" t="s">
        <v>117</v>
      </c>
      <c r="C6" s="75">
        <f>C5</f>
        <v>120</v>
      </c>
      <c r="D6" s="76">
        <v>1</v>
      </c>
      <c r="E6" s="76">
        <f>D6*$E$4</f>
        <v>0.6</v>
      </c>
      <c r="F6" s="76">
        <f>D6+E6</f>
        <v>1.6</v>
      </c>
      <c r="G6" s="77">
        <f>F6*C6</f>
        <v>192</v>
      </c>
      <c r="J6" s="120"/>
      <c r="K6" s="119"/>
      <c r="P6" s="47"/>
      <c r="Q6" s="48"/>
      <c r="R6" s="49"/>
    </row>
    <row r="7" spans="2:18" ht="13.5" thickBot="1" x14ac:dyDescent="0.35">
      <c r="B7" s="74" t="s">
        <v>121</v>
      </c>
      <c r="C7" s="75">
        <f>K18+L18+M18+N18</f>
        <v>900</v>
      </c>
      <c r="D7" s="76">
        <f>K25+K26</f>
        <v>0.39954811553030306</v>
      </c>
      <c r="E7" s="76">
        <f>D7*$E$4</f>
        <v>0.23972886931818183</v>
      </c>
      <c r="F7" s="76">
        <f>D7+E7</f>
        <v>0.63927698484848494</v>
      </c>
      <c r="G7" s="77">
        <f>F7*C7</f>
        <v>575.34928636363645</v>
      </c>
      <c r="J7" s="120"/>
      <c r="K7" s="119"/>
      <c r="P7" s="47"/>
      <c r="Q7" s="48"/>
      <c r="R7" s="49"/>
    </row>
    <row r="8" spans="2:18" ht="13.5" thickBot="1" x14ac:dyDescent="0.35">
      <c r="B8" s="74" t="s">
        <v>96</v>
      </c>
      <c r="C8" s="75">
        <f>K18+L18+M18+N18</f>
        <v>900</v>
      </c>
      <c r="D8" s="76">
        <f>K21+K22</f>
        <v>1.3897325757575758</v>
      </c>
      <c r="E8" s="76">
        <f t="shared" ref="E8:E9" si="0">D8*$E$4</f>
        <v>0.83383954545454542</v>
      </c>
      <c r="F8" s="76">
        <f t="shared" ref="F8:F9" si="1">D8+E8</f>
        <v>2.2235721212121211</v>
      </c>
      <c r="G8" s="77">
        <f t="shared" ref="G8:G9" si="2">F8*C8</f>
        <v>2001.214909090909</v>
      </c>
      <c r="J8" s="78"/>
      <c r="P8" s="47" t="s">
        <v>103</v>
      </c>
      <c r="Q8" s="48">
        <v>12</v>
      </c>
      <c r="R8" s="49">
        <f>(($R$4*Q8)/Q8)/Q8</f>
        <v>32.166666666666664</v>
      </c>
    </row>
    <row r="9" spans="2:18" ht="13.5" thickBot="1" x14ac:dyDescent="0.35">
      <c r="B9" s="79" t="s">
        <v>40</v>
      </c>
      <c r="C9" s="80">
        <f>C5</f>
        <v>120</v>
      </c>
      <c r="D9" s="81">
        <v>0.57999999999999996</v>
      </c>
      <c r="E9" s="81">
        <f t="shared" si="0"/>
        <v>0.34799999999999998</v>
      </c>
      <c r="F9" s="81">
        <f t="shared" si="1"/>
        <v>0.92799999999999994</v>
      </c>
      <c r="G9" s="82">
        <f t="shared" si="2"/>
        <v>111.35999999999999</v>
      </c>
      <c r="J9" s="62" t="s">
        <v>91</v>
      </c>
      <c r="K9" s="68">
        <f>K3*K4</f>
        <v>173.56256060606063</v>
      </c>
      <c r="P9" s="47" t="s">
        <v>104</v>
      </c>
      <c r="Q9" s="48">
        <v>24</v>
      </c>
      <c r="R9" s="49">
        <f>(($R$4*Q8)/Q9)/12</f>
        <v>16.083333333333332</v>
      </c>
    </row>
    <row r="10" spans="2:18" ht="15" thickBot="1" x14ac:dyDescent="0.4">
      <c r="B10" s="83"/>
      <c r="C10" s="83"/>
      <c r="D10" s="84" t="s">
        <v>3</v>
      </c>
      <c r="E10" s="85"/>
      <c r="F10" s="84" t="s">
        <v>3</v>
      </c>
      <c r="G10" s="73">
        <f>SUM(G5:G9)</f>
        <v>3091.1241954545458</v>
      </c>
      <c r="J10" s="62" t="s">
        <v>94</v>
      </c>
      <c r="K10" s="68">
        <f>K5*K3</f>
        <v>21</v>
      </c>
      <c r="P10" s="50" t="s">
        <v>105</v>
      </c>
      <c r="Q10" s="51">
        <v>12</v>
      </c>
      <c r="R10" s="52">
        <f>(($R$4*Q10)/Q10)/Q10</f>
        <v>32.166666666666664</v>
      </c>
    </row>
    <row r="11" spans="2:18" ht="15" thickBot="1" x14ac:dyDescent="0.4">
      <c r="B11" s="83"/>
      <c r="C11" s="83"/>
      <c r="D11" s="86" t="s">
        <v>4</v>
      </c>
      <c r="E11" s="87"/>
      <c r="F11" s="86" t="s">
        <v>4</v>
      </c>
      <c r="G11" s="77">
        <f>G10*12%</f>
        <v>370.93490345454546</v>
      </c>
      <c r="J11" s="62" t="s">
        <v>95</v>
      </c>
      <c r="K11" s="68">
        <f>SUM(K9:K10)</f>
        <v>194.56256060606063</v>
      </c>
      <c r="P11" s="53" t="s">
        <v>106</v>
      </c>
      <c r="Q11" s="54">
        <v>0.1215</v>
      </c>
      <c r="R11" s="55">
        <f>(R4*Q11)</f>
        <v>46.899000000000001</v>
      </c>
    </row>
    <row r="12" spans="2:18" ht="16" thickBot="1" x14ac:dyDescent="0.4">
      <c r="B12" s="88"/>
      <c r="C12" s="83"/>
      <c r="D12" s="89" t="s">
        <v>5</v>
      </c>
      <c r="E12" s="90"/>
      <c r="F12" s="89" t="s">
        <v>5</v>
      </c>
      <c r="G12" s="91">
        <f>SUM(G10:G11)</f>
        <v>3462.0590989090911</v>
      </c>
      <c r="J12" s="116" t="s">
        <v>98</v>
      </c>
      <c r="K12" s="117">
        <f>Q14</f>
        <v>1</v>
      </c>
      <c r="P12" s="128" t="s">
        <v>107</v>
      </c>
      <c r="Q12" s="129"/>
      <c r="R12" s="45">
        <f>SUM(R5:R11)</f>
        <v>159.48233333333332</v>
      </c>
    </row>
    <row r="13" spans="2:18" ht="13.5" thickBot="1" x14ac:dyDescent="0.35">
      <c r="J13" s="62" t="s">
        <v>91</v>
      </c>
      <c r="K13" s="68">
        <f>K11*K12</f>
        <v>194.56256060606063</v>
      </c>
      <c r="P13" s="130" t="s">
        <v>91</v>
      </c>
      <c r="Q13" s="131"/>
      <c r="R13" s="56">
        <f>R4+R12</f>
        <v>545.48233333333337</v>
      </c>
    </row>
    <row r="14" spans="2:18" ht="18.75" customHeight="1" thickBot="1" x14ac:dyDescent="0.35">
      <c r="B14" s="135" t="s">
        <v>39</v>
      </c>
      <c r="C14" s="136"/>
      <c r="D14" s="136"/>
      <c r="E14" s="136"/>
      <c r="F14" s="136"/>
      <c r="G14" s="137"/>
      <c r="J14" s="62" t="s">
        <v>99</v>
      </c>
      <c r="K14" s="68">
        <f>K12*K13</f>
        <v>194.56256060606063</v>
      </c>
      <c r="P14" s="57" t="s">
        <v>108</v>
      </c>
      <c r="Q14" s="58">
        <v>1</v>
      </c>
      <c r="R14" s="46">
        <f>R13*Q14</f>
        <v>545.48233333333337</v>
      </c>
    </row>
    <row r="15" spans="2:18" ht="15" customHeight="1" thickBot="1" x14ac:dyDescent="0.35">
      <c r="B15" s="92" t="s">
        <v>0</v>
      </c>
      <c r="C15" s="93" t="s">
        <v>6</v>
      </c>
      <c r="D15" s="93" t="s">
        <v>1</v>
      </c>
      <c r="E15" s="94">
        <v>0.35</v>
      </c>
      <c r="F15" s="94"/>
      <c r="G15" s="95" t="s">
        <v>2</v>
      </c>
      <c r="J15" s="78"/>
      <c r="N15" s="122" t="s">
        <v>118</v>
      </c>
    </row>
    <row r="16" spans="2:18" ht="13.5" thickBot="1" x14ac:dyDescent="0.35">
      <c r="B16" s="96" t="s">
        <v>7</v>
      </c>
      <c r="C16" s="97">
        <f>C9</f>
        <v>120</v>
      </c>
      <c r="D16" s="98">
        <f>Q19</f>
        <v>0.83333333333333337</v>
      </c>
      <c r="E16" s="98">
        <f>D16*$E$15</f>
        <v>0.29166666666666669</v>
      </c>
      <c r="F16" s="98">
        <f>E16+D16</f>
        <v>1.125</v>
      </c>
      <c r="G16" s="99">
        <f>F16*C16</f>
        <v>135</v>
      </c>
      <c r="J16" s="62" t="s">
        <v>89</v>
      </c>
      <c r="K16" s="114">
        <v>4</v>
      </c>
      <c r="L16" s="114">
        <v>8</v>
      </c>
      <c r="M16" s="114">
        <v>50</v>
      </c>
      <c r="N16" s="121">
        <v>4</v>
      </c>
      <c r="P16" s="123" t="s">
        <v>116</v>
      </c>
      <c r="Q16" s="124"/>
    </row>
    <row r="17" spans="2:17" s="100" customFormat="1" ht="13.5" thickBot="1" x14ac:dyDescent="0.35">
      <c r="B17" s="59" t="s">
        <v>79</v>
      </c>
      <c r="C17" s="138">
        <v>1</v>
      </c>
      <c r="D17" s="140">
        <v>19</v>
      </c>
      <c r="E17" s="140">
        <f t="shared" ref="E17:E18" si="3">D17*$E$15</f>
        <v>6.6499999999999995</v>
      </c>
      <c r="F17" s="140">
        <f t="shared" ref="F17:F18" si="4">E17+D17</f>
        <v>25.65</v>
      </c>
      <c r="G17" s="142">
        <f>F17*C17</f>
        <v>25.65</v>
      </c>
      <c r="J17" s="62" t="s">
        <v>88</v>
      </c>
      <c r="K17" s="114">
        <v>88</v>
      </c>
      <c r="L17" s="114">
        <v>13</v>
      </c>
      <c r="M17" s="114">
        <v>8</v>
      </c>
      <c r="N17" s="121">
        <v>11</v>
      </c>
      <c r="P17" s="62" t="s">
        <v>112</v>
      </c>
      <c r="Q17" s="68">
        <v>1.1000000000000001</v>
      </c>
    </row>
    <row r="18" spans="2:17" s="100" customFormat="1" ht="13.5" thickBot="1" x14ac:dyDescent="0.35">
      <c r="B18" s="43" t="s">
        <v>85</v>
      </c>
      <c r="C18" s="139"/>
      <c r="D18" s="141"/>
      <c r="E18" s="141">
        <f t="shared" si="3"/>
        <v>0</v>
      </c>
      <c r="F18" s="141">
        <f t="shared" si="4"/>
        <v>0</v>
      </c>
      <c r="G18" s="143">
        <f t="shared" ref="G18" si="5">(D18+E18)*C18</f>
        <v>0</v>
      </c>
      <c r="J18" s="62" t="s">
        <v>90</v>
      </c>
      <c r="K18" s="63">
        <f>K16*K17</f>
        <v>352</v>
      </c>
      <c r="L18" s="63">
        <f>L16*L17</f>
        <v>104</v>
      </c>
      <c r="M18" s="63">
        <f>M16*M17</f>
        <v>400</v>
      </c>
      <c r="N18" s="63">
        <f>N16*N17</f>
        <v>44</v>
      </c>
      <c r="P18" s="62" t="s">
        <v>113</v>
      </c>
      <c r="Q18" s="68">
        <v>0.6</v>
      </c>
    </row>
    <row r="19" spans="2:17" s="100" customFormat="1" ht="16" thickBot="1" x14ac:dyDescent="0.35">
      <c r="B19" s="102"/>
      <c r="C19" s="103"/>
      <c r="D19" s="104" t="s">
        <v>3</v>
      </c>
      <c r="E19" s="105"/>
      <c r="F19" s="104" t="s">
        <v>3</v>
      </c>
      <c r="G19" s="99">
        <f>SUM(G16:G17)</f>
        <v>160.65</v>
      </c>
      <c r="P19" s="62" t="s">
        <v>7</v>
      </c>
      <c r="Q19" s="68">
        <f>IF(OR((K17+L17+M17+N17)&lt;=100),(100/(K17+L17+M17+N17)),(100/(K17+L17+M17+N17)))</f>
        <v>0.83333333333333337</v>
      </c>
    </row>
    <row r="20" spans="2:17" s="100" customFormat="1" ht="16" thickBot="1" x14ac:dyDescent="0.35">
      <c r="B20" s="102"/>
      <c r="C20" s="103"/>
      <c r="D20" s="106" t="s">
        <v>86</v>
      </c>
      <c r="E20" s="107"/>
      <c r="F20" s="106" t="s">
        <v>86</v>
      </c>
      <c r="G20" s="108">
        <f>G17</f>
        <v>25.65</v>
      </c>
      <c r="J20" s="123" t="s">
        <v>111</v>
      </c>
      <c r="K20" s="124"/>
      <c r="L20" s="109" t="s">
        <v>109</v>
      </c>
      <c r="P20" s="62" t="s">
        <v>114</v>
      </c>
      <c r="Q20" s="68">
        <v>25</v>
      </c>
    </row>
    <row r="21" spans="2:17" s="100" customFormat="1" ht="15" thickBot="1" x14ac:dyDescent="0.35">
      <c r="B21" s="103"/>
      <c r="C21" s="103"/>
      <c r="D21" s="106" t="s">
        <v>4</v>
      </c>
      <c r="E21" s="107"/>
      <c r="F21" s="106" t="s">
        <v>4</v>
      </c>
      <c r="G21" s="108">
        <f>(G19-G20)*H21</f>
        <v>16.2</v>
      </c>
      <c r="H21" s="110">
        <v>0.12</v>
      </c>
      <c r="J21" s="62" t="s">
        <v>110</v>
      </c>
      <c r="K21" s="68">
        <f>($K$4+$K$5)/L21</f>
        <v>0.86858285984848493</v>
      </c>
      <c r="L21" s="115">
        <v>32</v>
      </c>
      <c r="Q21" s="101"/>
    </row>
    <row r="22" spans="2:17" s="100" customFormat="1" ht="15" thickBot="1" x14ac:dyDescent="0.35">
      <c r="B22" s="103"/>
      <c r="C22" s="103"/>
      <c r="D22" s="111" t="s">
        <v>5</v>
      </c>
      <c r="E22" s="112"/>
      <c r="F22" s="111" t="s">
        <v>5</v>
      </c>
      <c r="G22" s="113">
        <f>(G19-G20)+G21</f>
        <v>151.19999999999999</v>
      </c>
      <c r="J22" s="62" t="s">
        <v>115</v>
      </c>
      <c r="K22" s="68">
        <f>K21*L22</f>
        <v>0.52114971590909098</v>
      </c>
      <c r="L22" s="118">
        <v>0.6</v>
      </c>
      <c r="Q22" s="101"/>
    </row>
    <row r="23" spans="2:17" s="100" customFormat="1" ht="13.5" thickBot="1" x14ac:dyDescent="0.35">
      <c r="B23" s="60"/>
      <c r="C23" s="60"/>
      <c r="D23" s="60"/>
      <c r="E23" s="60"/>
      <c r="F23" s="60"/>
      <c r="G23" s="60"/>
      <c r="Q23" s="101"/>
    </row>
    <row r="24" spans="2:17" s="100" customFormat="1" ht="13.5" thickBot="1" x14ac:dyDescent="0.35">
      <c r="B24" s="60"/>
      <c r="C24" s="60"/>
      <c r="D24" s="60"/>
      <c r="E24" s="60"/>
      <c r="F24" s="60"/>
      <c r="G24" s="60"/>
      <c r="J24" s="123" t="s">
        <v>119</v>
      </c>
      <c r="K24" s="124"/>
      <c r="L24" s="109" t="s">
        <v>109</v>
      </c>
      <c r="Q24" s="101"/>
    </row>
    <row r="25" spans="2:17" ht="15" thickBot="1" x14ac:dyDescent="0.4">
      <c r="B25" s="132" t="s">
        <v>82</v>
      </c>
      <c r="C25" s="133"/>
      <c r="D25" s="133"/>
      <c r="E25" s="133"/>
      <c r="F25" s="133"/>
      <c r="G25" s="134"/>
      <c r="J25" s="62" t="s">
        <v>120</v>
      </c>
      <c r="K25" s="68">
        <f>($K$4+$K$5)/L25</f>
        <v>0.34743314393939395</v>
      </c>
      <c r="L25" s="115">
        <v>80</v>
      </c>
    </row>
    <row r="26" spans="2:17" ht="15" thickBot="1" x14ac:dyDescent="0.4">
      <c r="B26" s="64" t="s">
        <v>0</v>
      </c>
      <c r="C26" s="65" t="s">
        <v>6</v>
      </c>
      <c r="D26" s="65" t="s">
        <v>1</v>
      </c>
      <c r="E26" s="66">
        <v>0.2</v>
      </c>
      <c r="F26" s="66"/>
      <c r="G26" s="67" t="s">
        <v>2</v>
      </c>
      <c r="J26" s="62" t="s">
        <v>115</v>
      </c>
      <c r="K26" s="68">
        <f>K25*L26</f>
        <v>5.2114971590909089E-2</v>
      </c>
      <c r="L26" s="118">
        <v>0.15</v>
      </c>
    </row>
    <row r="27" spans="2:17" ht="13.5" thickBot="1" x14ac:dyDescent="0.35">
      <c r="B27" s="79" t="s">
        <v>81</v>
      </c>
      <c r="C27" s="80">
        <v>50</v>
      </c>
      <c r="D27" s="81">
        <v>0.6</v>
      </c>
      <c r="E27" s="81">
        <f t="shared" ref="E27" si="6">D27*$E$4</f>
        <v>0.36</v>
      </c>
      <c r="F27" s="81">
        <v>2.2999999999999998</v>
      </c>
      <c r="G27" s="82">
        <f t="shared" ref="G27" si="7">F27*C27</f>
        <v>114.99999999999999</v>
      </c>
    </row>
    <row r="28" spans="2:17" ht="14.5" x14ac:dyDescent="0.35">
      <c r="B28" s="83"/>
      <c r="C28" s="83"/>
      <c r="D28" s="84" t="s">
        <v>3</v>
      </c>
      <c r="E28" s="85"/>
      <c r="F28" s="84" t="s">
        <v>3</v>
      </c>
      <c r="G28" s="73">
        <f>SUM(G27:G27)</f>
        <v>114.99999999999999</v>
      </c>
    </row>
    <row r="29" spans="2:17" ht="15" thickBot="1" x14ac:dyDescent="0.4">
      <c r="B29" s="83"/>
      <c r="C29" s="83"/>
      <c r="D29" s="86" t="s">
        <v>4</v>
      </c>
      <c r="E29" s="87"/>
      <c r="F29" s="86" t="s">
        <v>4</v>
      </c>
      <c r="G29" s="77">
        <f>G28*12%</f>
        <v>13.799999999999997</v>
      </c>
    </row>
    <row r="30" spans="2:17" ht="16" thickBot="1" x14ac:dyDescent="0.4">
      <c r="B30" s="88"/>
      <c r="C30" s="83"/>
      <c r="D30" s="89" t="s">
        <v>5</v>
      </c>
      <c r="E30" s="90"/>
      <c r="F30" s="89" t="s">
        <v>5</v>
      </c>
      <c r="G30" s="91">
        <f>SUM(G28:G29)</f>
        <v>128.79999999999998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12:Q12"/>
    <mergeCell ref="P4:Q4"/>
    <mergeCell ref="P13:Q13"/>
    <mergeCell ref="J20:K20"/>
    <mergeCell ref="P16:Q1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90625" style="18" customWidth="1"/>
    <col min="5" max="16384" width="10.9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RowHeight="14.5" x14ac:dyDescent="0.35"/>
  <cols>
    <col min="1" max="1" width="10.90625" style="18"/>
    <col min="2" max="2" width="29.81640625" style="18" customWidth="1"/>
    <col min="3" max="3" width="42.7265625" style="18" bestFit="1" customWidth="1"/>
    <col min="4" max="5" width="10.90625" style="18" customWidth="1"/>
    <col min="6" max="16384" width="10.9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2018-02-26T21:30:53Z</dcterms:modified>
</cp:coreProperties>
</file>