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Veronica/Ecisec/"/>
    </mc:Choice>
  </mc:AlternateContent>
  <xr:revisionPtr revIDLastSave="10" documentId="8_{46BA7B07-84F8-427D-AA81-0E5241E9B69C}" xr6:coauthVersionLast="28" xr6:coauthVersionMax="28" xr10:uidLastSave="{E96C9A29-267E-4619-A9F6-70D45882316F}"/>
  <bookViews>
    <workbookView xWindow="0" yWindow="0" windowWidth="20490" windowHeight="6930" tabRatio="733" activeTab="2" xr2:uid="{00000000-000D-0000-FFFF-FFFF00000000}"/>
  </bookViews>
  <sheets>
    <sheet name="Analisis Costo Digital Factura" sheetId="14" r:id="rId1"/>
    <sheet name="Analisis Costo Digital Comprob" sheetId="20" r:id="rId2"/>
    <sheet name="Analisis Costo Digital Liqui" sheetId="21" r:id="rId3"/>
    <sheet name="Analisis de Costo Radicación " sheetId="18" r:id="rId4"/>
    <sheet name="Rendimiento Ecogal" sheetId="19" r:id="rId5"/>
    <sheet name="Rendimiento Samsung" sheetId="17" r:id="rId6"/>
  </sheets>
  <externalReferences>
    <externalReference r:id="rId7"/>
  </externalReferences>
  <calcPr calcId="171027"/>
</workbook>
</file>

<file path=xl/calcChain.xml><?xml version="1.0" encoding="utf-8"?>
<calcChain xmlns="http://schemas.openxmlformats.org/spreadsheetml/2006/main">
  <c r="N70" i="21" l="1"/>
  <c r="N74" i="21" s="1"/>
  <c r="M27" i="21" s="1"/>
  <c r="N53" i="21"/>
  <c r="N52" i="21"/>
  <c r="N46" i="21"/>
  <c r="N55" i="21" s="1"/>
  <c r="M26" i="21" s="1"/>
  <c r="H40" i="21"/>
  <c r="V37" i="21"/>
  <c r="V36" i="21"/>
  <c r="H36" i="21"/>
  <c r="H42" i="21" s="1"/>
  <c r="H46" i="21" s="1"/>
  <c r="V35" i="21"/>
  <c r="V34" i="21"/>
  <c r="V33" i="21"/>
  <c r="V38" i="21" s="1"/>
  <c r="L33" i="21"/>
  <c r="U25" i="21"/>
  <c r="Q25" i="21"/>
  <c r="M21" i="21"/>
  <c r="AC20" i="21"/>
  <c r="M18" i="21"/>
  <c r="AC17" i="21"/>
  <c r="M15" i="21"/>
  <c r="V5" i="21"/>
  <c r="M6" i="21" s="1"/>
  <c r="Q4" i="21"/>
  <c r="Q3" i="21"/>
  <c r="Q14" i="21" s="1"/>
  <c r="M33" i="21" s="1"/>
  <c r="Q32" i="21" s="1"/>
  <c r="M3" i="21"/>
  <c r="Y2" i="21"/>
  <c r="X2" i="21"/>
  <c r="W5" i="21" s="1"/>
  <c r="N70" i="20"/>
  <c r="N74" i="20" s="1"/>
  <c r="M27" i="20" s="1"/>
  <c r="N53" i="20"/>
  <c r="N52" i="20"/>
  <c r="N46" i="20"/>
  <c r="N55" i="20" s="1"/>
  <c r="M26" i="20" s="1"/>
  <c r="M29" i="20" s="1"/>
  <c r="H40" i="20"/>
  <c r="V37" i="20"/>
  <c r="V36" i="20"/>
  <c r="H36" i="20"/>
  <c r="H42" i="20" s="1"/>
  <c r="H46" i="20" s="1"/>
  <c r="V35" i="20"/>
  <c r="V34" i="20"/>
  <c r="V33" i="20"/>
  <c r="V38" i="20" s="1"/>
  <c r="L33" i="20"/>
  <c r="U25" i="20"/>
  <c r="Q25" i="20"/>
  <c r="M21" i="20"/>
  <c r="AC20" i="20"/>
  <c r="M18" i="20"/>
  <c r="AC17" i="20"/>
  <c r="M15" i="20"/>
  <c r="W5" i="20"/>
  <c r="V5" i="20"/>
  <c r="M6" i="20" s="1"/>
  <c r="Q4" i="20"/>
  <c r="Q3" i="20"/>
  <c r="Q14" i="20" s="1"/>
  <c r="M33" i="20" s="1"/>
  <c r="Q32" i="20" s="1"/>
  <c r="M3" i="20"/>
  <c r="Y2" i="20"/>
  <c r="X2" i="20"/>
  <c r="M41" i="14"/>
  <c r="Q47" i="14"/>
  <c r="Q45" i="14"/>
  <c r="Q44" i="14"/>
  <c r="Q42" i="14"/>
  <c r="Q35" i="14"/>
  <c r="Q33" i="14"/>
  <c r="Q32" i="14"/>
  <c r="M37" i="14"/>
  <c r="Q23" i="14"/>
  <c r="Q18" i="14"/>
  <c r="M38" i="14" s="1"/>
  <c r="M29" i="21" l="1"/>
  <c r="H47" i="21"/>
  <c r="H48" i="21"/>
  <c r="H49" i="21" s="1"/>
  <c r="H51" i="21" s="1"/>
  <c r="C15" i="21" s="1"/>
  <c r="V39" i="21"/>
  <c r="V40" i="21" s="1"/>
  <c r="M5" i="21"/>
  <c r="M7" i="21"/>
  <c r="M10" i="21" s="1"/>
  <c r="Q31" i="21"/>
  <c r="X5" i="21"/>
  <c r="M11" i="21"/>
  <c r="X5" i="20"/>
  <c r="H47" i="20"/>
  <c r="H48" i="20"/>
  <c r="H49" i="20" s="1"/>
  <c r="H51" i="20" s="1"/>
  <c r="C15" i="20" s="1"/>
  <c r="V39" i="20"/>
  <c r="V40" i="20" s="1"/>
  <c r="M5" i="20"/>
  <c r="Q31" i="20"/>
  <c r="M7" i="20"/>
  <c r="M10" i="20" s="1"/>
  <c r="M11" i="20"/>
  <c r="E15" i="21" l="1"/>
  <c r="F15" i="21" s="1"/>
  <c r="F17" i="21" s="1"/>
  <c r="M12" i="21"/>
  <c r="M22" i="21" s="1"/>
  <c r="M12" i="20"/>
  <c r="M22" i="20" s="1"/>
  <c r="Q30" i="20" s="1"/>
  <c r="E15" i="20"/>
  <c r="F15" i="20" s="1"/>
  <c r="F17" i="20" s="1"/>
  <c r="M32" i="20"/>
  <c r="M34" i="20" s="1"/>
  <c r="F18" i="21" l="1"/>
  <c r="F19" i="21" s="1"/>
  <c r="Q30" i="21"/>
  <c r="M32" i="21"/>
  <c r="M34" i="21" s="1"/>
  <c r="F18" i="20"/>
  <c r="F19" i="20" s="1"/>
  <c r="Q18" i="20"/>
  <c r="Q33" i="20" s="1"/>
  <c r="Q35" i="20" s="1"/>
  <c r="V5" i="14"/>
  <c r="M6" i="14" s="1"/>
  <c r="X2" i="14"/>
  <c r="W5" i="14" s="1"/>
  <c r="M11" i="14" s="1"/>
  <c r="Q18" i="21" l="1"/>
  <c r="Q33" i="21" s="1"/>
  <c r="Q35" i="21" s="1"/>
  <c r="M37" i="20"/>
  <c r="M41" i="20" s="1"/>
  <c r="M37" i="21" l="1"/>
  <c r="M38" i="21" s="1"/>
  <c r="M42" i="21" s="1"/>
  <c r="E7" i="21" s="1"/>
  <c r="F7" i="21" s="1"/>
  <c r="M41" i="21"/>
  <c r="M38" i="20"/>
  <c r="M42" i="20" s="1"/>
  <c r="E7" i="20" s="1"/>
  <c r="F7" i="20" s="1"/>
  <c r="Q37" i="20" s="1"/>
  <c r="Q39" i="20" s="1"/>
  <c r="Q23" i="21" l="1"/>
  <c r="Q42" i="21" s="1"/>
  <c r="Q37" i="21"/>
  <c r="Q39" i="21" s="1"/>
  <c r="Q47" i="21" s="1"/>
  <c r="F9" i="21"/>
  <c r="Q45" i="21"/>
  <c r="Q44" i="21"/>
  <c r="F9" i="20"/>
  <c r="F10" i="20" s="1"/>
  <c r="Q23" i="20"/>
  <c r="Q42" i="20" s="1"/>
  <c r="F10" i="21" l="1"/>
  <c r="F11" i="21" s="1"/>
  <c r="F11" i="20"/>
  <c r="Q45" i="20"/>
  <c r="Q44" i="20"/>
  <c r="Q47" i="20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E14" i="19"/>
  <c r="F13" i="19"/>
  <c r="G13" i="19" s="1"/>
  <c r="E13" i="19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M32" i="14" s="1"/>
  <c r="H40" i="14"/>
  <c r="Q31" i="14" l="1"/>
  <c r="H36" i="14"/>
  <c r="H42" i="14" s="1"/>
  <c r="H46" i="14" s="1"/>
  <c r="H48" i="14" l="1"/>
  <c r="H49" i="14" s="1"/>
  <c r="H51" i="14" s="1"/>
  <c r="C15" i="14" s="1"/>
  <c r="E15" i="14" s="1"/>
  <c r="H47" i="14"/>
  <c r="Y2" i="14"/>
  <c r="F15" i="14" l="1"/>
  <c r="F17" i="14" s="1"/>
  <c r="F18" i="14" s="1"/>
  <c r="Q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C20" i="14"/>
  <c r="U25" i="14"/>
  <c r="AC17" i="14"/>
  <c r="L33" i="14"/>
  <c r="I24" i="18" l="1"/>
  <c r="F23" i="18"/>
  <c r="G7" i="18"/>
  <c r="G10" i="18" s="1"/>
  <c r="G6" i="18"/>
  <c r="F19" i="14"/>
  <c r="X5" i="14"/>
  <c r="Q14" i="14" s="1"/>
  <c r="M33" i="14" s="1"/>
  <c r="M34" i="14" l="1"/>
  <c r="K25" i="18"/>
  <c r="F26" i="18" s="1"/>
  <c r="F28" i="18" s="1"/>
  <c r="K23" i="18"/>
  <c r="F27" i="18" s="1"/>
  <c r="F29" i="18" l="1"/>
  <c r="P5" i="18" s="1"/>
  <c r="O5" i="18"/>
  <c r="F30" i="18" l="1"/>
  <c r="Q5" i="18" s="1"/>
  <c r="M42" i="14"/>
  <c r="E7" i="14" s="1"/>
  <c r="F7" i="14" s="1"/>
  <c r="Q37" i="14" l="1"/>
  <c r="Q39" i="14" s="1"/>
  <c r="F9" i="14"/>
  <c r="F10" i="14" l="1"/>
  <c r="F11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7E4BEB62-BDB4-4DF8-9C88-C2FA827CC318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982BEE0D-27E7-4D26-A05D-FE04A6EEDE62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F11FCC93-F37A-42FB-93E4-4A0ADB96CB1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4AE73388-FEC2-4F09-9E9F-A85F8E9D38F1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10940D12-AE43-4685-8407-B22565F2A057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EC4378A8-090E-405D-84C5-44A379A8AD14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CFF123A2-62BB-4DDC-998B-5858D2B50549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C35AB0EA-737F-4E21-8772-8A3FE23204EE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35D7CA6-365C-4F6C-8431-D5BEB7AB05F1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B2DFFF16-4251-4646-ADC4-139D3D414DCB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A64D71DB-257C-4F4E-8844-F2CC79E20527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1E81F0A8-1DB1-46A3-9D5D-25D12B0E115B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9B458392-F5D1-4A62-AABB-32B4AF43CBCB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8CDFE26E-3DFF-4508-B2E1-F9AF5BB83626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<sst xmlns="http://schemas.openxmlformats.org/spreadsheetml/2006/main" count="1186" uniqueCount="226">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</sst>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9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0" fontId="19" fillId="27" borderId="18" xfId="0" applyFont="1" applyFill="1" applyBorder="1"/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0" fontId="19" fillId="18" borderId="19" xfId="0" applyFont="1" applyFill="1" applyBorder="1"/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0" fontId="24" fillId="10" borderId="1" xfId="0" applyFont="1" applyFill="1" applyBorder="1"/>
    <xf numFmtId="0" fontId="19" fillId="20" borderId="19" xfId="0" applyFont="1" applyFill="1" applyBorder="1"/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20" xfId="0" applyFont="1" applyFill="1" applyBorder="1" applyAlignment="1">
      <alignment horizontal="right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0" fontId="23" fillId="0" borderId="0" xfId="0" applyFont="1" applyFill="1" applyBorder="1" applyAlignment="1">
      <alignment horizontal="center"/>
    </xf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2" fontId="19" fillId="2" borderId="24" xfId="0" applyNumberFormat="1" applyFont="1" applyFill="1" applyBorder="1"/>
    <xf numFmtId="0" fontId="27" fillId="0" borderId="39" xfId="0" applyFont="1" applyBorder="1" applyAlignment="1">
      <alignment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27" fillId="0" borderId="15" xfId="0" applyFont="1" applyBorder="1" applyAlignment="1">
      <alignment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  <xf numFmtId="44" fontId="3" fillId="2" borderId="1" xfId="7" applyFont="1" applyFill="1" applyBorder="1"/>
    <xf numFmtId="0" fontId="21" fillId="3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179" fontId="3" fillId="2" borderId="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9" fontId="3" fillId="2" borderId="1" xfId="0" applyNumberFormat="1" applyFont="1" applyFill="1" applyBorder="1"/>
    <xf numFmtId="0" fontId="20" fillId="5" borderId="1" xfId="0" applyFont="1" applyFill="1" applyBorder="1"/>
    <xf numFmtId="168" fontId="20" fillId="5" borderId="1" xfId="0" applyNumberFormat="1" applyFont="1" applyFill="1" applyBorder="1"/>
    <xf numFmtId="0" fontId="20" fillId="12" borderId="0" xfId="0" applyFont="1" applyFill="1"/>
    <xf numFmtId="44" fontId="20" fillId="12" borderId="0" xfId="0" applyNumberFormat="1" applyFont="1" applyFill="1"/>
    <xf numFmtId="44" fontId="3" fillId="2" borderId="1" xfId="0" applyNumberFormat="1" applyFont="1" applyFill="1" applyBorder="1"/>
    <xf numFmtId="9" fontId="19" fillId="2" borderId="0" xfId="0" applyNumberFormat="1" applyFont="1" applyFill="1" applyAlignment="1">
      <alignment horizontal="left"/>
    </xf>
    <xf numFmtId="44" fontId="19" fillId="2" borderId="0" xfId="0" applyNumberFormat="1" applyFont="1" applyFill="1" applyBorder="1" applyAlignment="1">
      <alignment horizontal="center" vertical="center"/>
    </xf>
    <xf numFmtId="44" fontId="19" fillId="2" borderId="0" xfId="0" applyNumberFormat="1" applyFont="1" applyFill="1" applyBorder="1"/>
    <xf numFmtId="1" fontId="19" fillId="2" borderId="0" xfId="0" applyNumberFormat="1" applyFont="1" applyFill="1" applyBorder="1"/>
    <xf numFmtId="178" fontId="19" fillId="2" borderId="0" xfId="5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44" fontId="19" fillId="0" borderId="0" xfId="0" applyNumberFormat="1" applyFont="1" applyFill="1" applyBorder="1" applyAlignment="1">
      <alignment horizontal="center" vertical="center"/>
    </xf>
    <xf numFmtId="44" fontId="19" fillId="0" borderId="0" xfId="0" applyNumberFormat="1" applyFont="1" applyFill="1" applyBorder="1"/>
    <xf numFmtId="0" fontId="19" fillId="0" borderId="0" xfId="0" applyFont="1" applyFill="1"/>
    <xf numFmtId="0" fontId="22" fillId="0" borderId="0" xfId="0" applyFont="1" applyFill="1" applyBorder="1" applyAlignment="1">
      <alignment horizontal="center"/>
    </xf>
    <xf numFmtId="44" fontId="3" fillId="2" borderId="24" xfId="0" applyNumberFormat="1" applyFont="1" applyFill="1" applyBorder="1"/>
    <xf numFmtId="179" fontId="3" fillId="2" borderId="24" xfId="0" applyNumberFormat="1" applyFont="1" applyFill="1" applyBorder="1"/>
    <xf numFmtId="9" fontId="20" fillId="5" borderId="1" xfId="0" applyNumberFormat="1" applyFont="1" applyFill="1" applyBorder="1"/>
    <xf numFmtId="0" fontId="3" fillId="2" borderId="21" xfId="0" applyFont="1" applyFill="1" applyBorder="1"/>
    <xf numFmtId="0" fontId="28" fillId="30" borderId="30" xfId="0" applyFont="1" applyFill="1" applyBorder="1" applyAlignment="1">
      <alignment horizontal="center"/>
    </xf>
    <xf numFmtId="0" fontId="28" fillId="30" borderId="32" xfId="0" applyFont="1" applyFill="1" applyBorder="1" applyAlignment="1">
      <alignment horizontal="center"/>
    </xf>
    <xf numFmtId="0" fontId="28" fillId="30" borderId="2" xfId="0" applyFont="1" applyFill="1" applyBorder="1" applyAlignment="1">
      <alignment horizontal="center"/>
    </xf>
    <xf numFmtId="0" fontId="28" fillId="30" borderId="3" xfId="0" applyFont="1" applyFill="1" applyBorder="1" applyAlignment="1">
      <alignment horizontal="center"/>
    </xf>
    <xf numFmtId="0" fontId="3" fillId="2" borderId="16" xfId="0" applyFont="1" applyFill="1" applyBorder="1"/>
    <xf numFmtId="168" fontId="26" fillId="30" borderId="15" xfId="0" applyNumberFormat="1" applyFont="1" applyFill="1" applyBorder="1" applyAlignment="1">
      <alignment horizontal="center"/>
    </xf>
    <xf numFmtId="0" fontId="26" fillId="30" borderId="20" xfId="0" applyFont="1" applyFill="1" applyBorder="1"/>
    <xf numFmtId="168" fontId="26" fillId="30" borderId="28" xfId="0" applyNumberFormat="1" applyFont="1" applyFill="1" applyBorder="1"/>
    <xf numFmtId="168" fontId="19" fillId="27" borderId="18" xfId="4" applyNumberFormat="1" applyFont="1" applyFill="1" applyBorder="1" applyAlignment="1">
      <alignment horizontal="right"/>
    </xf>
    <xf numFmtId="168" fontId="19" fillId="18" borderId="18" xfId="4" applyNumberFormat="1" applyFont="1" applyFill="1" applyBorder="1" applyAlignment="1">
      <alignment horizontal="right"/>
    </xf>
    <xf numFmtId="0" fontId="19" fillId="18" borderId="19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right"/>
    </xf>
    <xf numFmtId="168" fontId="19" fillId="20" borderId="18" xfId="4" applyNumberFormat="1" applyFont="1" applyFill="1" applyBorder="1" applyAlignment="1">
      <alignment horizontal="right"/>
    </xf>
    <xf numFmtId="0" fontId="19" fillId="20" borderId="19" xfId="0" applyFont="1" applyFill="1" applyBorder="1" applyAlignment="1">
      <alignment horizontal="right"/>
    </xf>
    <xf numFmtId="168" fontId="19" fillId="17" borderId="18" xfId="4" applyNumberFormat="1" applyFont="1" applyFill="1" applyBorder="1" applyAlignment="1">
      <alignment horizontal="right"/>
    </xf>
    <xf numFmtId="0" fontId="19" fillId="17" borderId="19" xfId="0" applyFont="1" applyFill="1" applyBorder="1" applyAlignment="1">
      <alignment horizontal="right"/>
    </xf>
    <xf numFmtId="168" fontId="26" fillId="30" borderId="15" xfId="0" applyNumberFormat="1" applyFont="1" applyFill="1" applyBorder="1" applyAlignment="1">
      <alignment horizontal="right"/>
    </xf>
    <xf numFmtId="44" fontId="19" fillId="27" borderId="20" xfId="0" applyNumberFormat="1" applyFont="1" applyFill="1" applyBorder="1" applyAlignment="1">
      <alignment horizontal="right"/>
    </xf>
    <xf numFmtId="44" fontId="19" fillId="20" borderId="20" xfId="0" applyNumberFormat="1" applyFont="1" applyFill="1" applyBorder="1" applyAlignment="1">
      <alignment horizontal="right"/>
    </xf>
    <xf numFmtId="44" fontId="19" fillId="17" borderId="20" xfId="0" applyNumberFormat="1" applyFont="1" applyFill="1" applyBorder="1" applyAlignment="1">
      <alignment horizontal="right"/>
    </xf>
    <xf numFmtId="0" fontId="20" fillId="5" borderId="19" xfId="0" applyFont="1" applyFill="1" applyBorder="1" applyAlignment="1">
      <alignment horizontal="right"/>
    </xf>
    <xf numFmtId="0" fontId="22" fillId="0" borderId="0" xfId="0" applyFont="1" applyFill="1" applyBorder="1" applyAlignment="1"/>
    <xf numFmtId="44" fontId="6" fillId="6" borderId="14" xfId="0" applyNumberFormat="1" applyFont="1" applyFill="1" applyBorder="1" applyAlignment="1"/>
    <xf numFmtId="44" fontId="26" fillId="30" borderId="28" xfId="0" applyNumberFormat="1" applyFont="1" applyFill="1" applyBorder="1"/>
    <xf numFmtId="0" fontId="3" fillId="2" borderId="45" xfId="0" applyFont="1" applyFill="1" applyBorder="1"/>
    <xf numFmtId="168" fontId="3" fillId="2" borderId="45" xfId="0" applyNumberFormat="1" applyFont="1" applyFill="1" applyBorder="1"/>
    <xf numFmtId="0" fontId="26" fillId="28" borderId="2" xfId="0" applyFont="1" applyFill="1" applyBorder="1" applyAlignment="1">
      <alignment horizontal="center"/>
    </xf>
    <xf numFmtId="0" fontId="26" fillId="28" borderId="3" xfId="0" applyFont="1" applyFill="1" applyBorder="1" applyAlignment="1">
      <alignment horizontal="center"/>
    </xf>
    <xf numFmtId="0" fontId="3" fillId="0" borderId="0" xfId="0" applyFont="1" applyFill="1" applyBorder="1"/>
    <xf numFmtId="44" fontId="3" fillId="0" borderId="0" xfId="0" applyNumberFormat="1" applyFont="1" applyFill="1" applyBorder="1"/>
    <xf numFmtId="0" fontId="20" fillId="29" borderId="0" xfId="0" applyFont="1" applyFill="1" applyBorder="1"/>
    <xf numFmtId="44" fontId="20" fillId="29" borderId="0" xfId="0" applyNumberFormat="1" applyFont="1" applyFill="1" applyBorder="1"/>
    <xf numFmtId="0" fontId="26" fillId="30" borderId="1" xfId="0" applyFont="1" applyFill="1" applyBorder="1" applyAlignment="1">
      <alignment horizontal="center"/>
    </xf>
    <xf numFmtId="0" fontId="29" fillId="20" borderId="0" xfId="0" applyFont="1" applyFill="1"/>
    <xf numFmtId="44" fontId="29" fillId="20" borderId="0" xfId="0" applyNumberFormat="1" applyFont="1" applyFill="1"/>
  </cellXfs>
  <cellStyles count="8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Monétaire 2" xfId="7" xr:uid="{01D75B06-E26A-4E4E-8D9E-F89F20776E9A}"/>
    <cellStyle name="Normal" xfId="0" builtinId="0"/>
    <cellStyle name="Pourcentage" xfId="5" builtinId="5"/>
  </cellStyles>
  <dxfs count="3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30EB6BE-7868-4177-AF30-3486CDF6A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51FC10-1217-4633-B4D1-1CC2B3A1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5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zoomScale="70" zoomScaleNormal="70" workbookViewId="0">
      <selection activeCell="E28" sqref="E28"/>
    </sheetView>
  </sheetViews>
  <sheetFormatPr baseColWidth="10" defaultColWidth="8.7265625" defaultRowHeight="13" x14ac:dyDescent="0.3"/>
  <cols>
    <col min="1" max="1" width="7.81640625" style="130" customWidth="1"/>
    <col min="2" max="2" width="26.1796875" style="130" bestFit="1" customWidth="1"/>
    <col min="3" max="3" width="9.81640625" style="130" bestFit="1" customWidth="1"/>
    <col min="4" max="4" width="10.1796875" style="130" customWidth="1"/>
    <col min="5" max="5" width="16" style="130" bestFit="1" customWidth="1"/>
    <col min="6" max="6" width="20.54296875" style="130" customWidth="1"/>
    <col min="7" max="7" width="17.6328125" style="130" bestFit="1" customWidth="1"/>
    <col min="8" max="8" width="12.453125" style="130" bestFit="1" customWidth="1"/>
    <col min="9" max="9" width="4.54296875" style="130" bestFit="1" customWidth="1"/>
    <col min="10" max="11" width="12" style="130" customWidth="1"/>
    <col min="12" max="12" width="43.54296875" style="130" customWidth="1"/>
    <col min="13" max="13" width="22.453125" style="130" bestFit="1" customWidth="1"/>
    <col min="14" max="14" width="11" style="130" bestFit="1" customWidth="1"/>
    <col min="15" max="15" width="11" style="130" customWidth="1"/>
    <col min="16" max="16" width="34.81640625" style="130" customWidth="1"/>
    <col min="17" max="17" width="25.26953125" style="130" customWidth="1"/>
    <col min="18" max="18" width="4.1796875" style="130" bestFit="1" customWidth="1"/>
    <col min="19" max="19" width="10.453125" style="130" customWidth="1"/>
    <col min="20" max="20" width="19.36328125" style="130" customWidth="1"/>
    <col min="21" max="21" width="17.7265625" style="130" bestFit="1" customWidth="1"/>
    <col min="22" max="22" width="13.6328125" style="130" bestFit="1" customWidth="1"/>
    <col min="23" max="23" width="12.81640625" style="130" customWidth="1"/>
    <col min="24" max="24" width="13.1796875" style="130" customWidth="1"/>
    <col min="25" max="26" width="8.7265625" style="130"/>
    <col min="27" max="27" width="9.7265625" style="130" customWidth="1"/>
    <col min="28" max="16384" width="8.7265625" style="130"/>
  </cols>
  <sheetData>
    <row r="1" spans="1:29" ht="13.5" thickBot="1" x14ac:dyDescent="0.3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" thickBot="1" x14ac:dyDescent="0.4">
      <c r="B2" s="132"/>
      <c r="C2" s="132"/>
      <c r="D2" s="133"/>
      <c r="E2" s="134"/>
      <c r="F2" s="135"/>
      <c r="L2" s="364" t="s">
        <v>7</v>
      </c>
      <c r="M2" s="365"/>
      <c r="P2" s="305" t="s">
        <v>8</v>
      </c>
      <c r="Q2" s="306"/>
      <c r="T2" s="130" t="s">
        <v>20</v>
      </c>
      <c r="U2" s="136">
        <v>800</v>
      </c>
      <c r="V2" s="136">
        <v>38</v>
      </c>
      <c r="W2" s="136">
        <v>3</v>
      </c>
      <c r="X2" s="136">
        <f>V2</f>
        <v>38</v>
      </c>
      <c r="Y2" s="136">
        <f>U2/36*V2*W2</f>
        <v>2533.3333333333335</v>
      </c>
    </row>
    <row r="3" spans="1:29" x14ac:dyDescent="0.3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3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35">
      <c r="B5" s="291" t="s">
        <v>71</v>
      </c>
      <c r="C5" s="292"/>
      <c r="D5" s="292"/>
      <c r="E5" s="292"/>
      <c r="F5" s="293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3</v>
      </c>
      <c r="W5" s="136">
        <f>X2</f>
        <v>38</v>
      </c>
      <c r="X5" s="150">
        <f>U5/36*V5*W5</f>
        <v>1900</v>
      </c>
    </row>
    <row r="6" spans="1:29" ht="15.75" customHeight="1" thickBot="1" x14ac:dyDescent="0.35">
      <c r="B6" s="151" t="s">
        <v>3</v>
      </c>
      <c r="C6" s="307" t="s">
        <v>66</v>
      </c>
      <c r="D6" s="308"/>
      <c r="E6" s="151" t="s">
        <v>67</v>
      </c>
      <c r="F6" s="152" t="s">
        <v>4</v>
      </c>
      <c r="L6" s="153" t="s">
        <v>156</v>
      </c>
      <c r="M6" s="154">
        <f>V5</f>
        <v>3</v>
      </c>
      <c r="P6" s="145"/>
      <c r="Q6" s="146"/>
      <c r="W6" s="155"/>
    </row>
    <row r="7" spans="1:29" ht="13.5" thickBot="1" x14ac:dyDescent="0.35">
      <c r="A7" s="147"/>
      <c r="B7" s="156" t="s">
        <v>65</v>
      </c>
      <c r="C7" s="157">
        <v>210000</v>
      </c>
      <c r="D7" s="158" t="s">
        <v>68</v>
      </c>
      <c r="E7" s="159">
        <f>M42</f>
        <v>6.7909166964579118E-2</v>
      </c>
      <c r="F7" s="160">
        <f>E7*C7</f>
        <v>14260.925062561615</v>
      </c>
      <c r="L7" s="370" t="s">
        <v>216</v>
      </c>
      <c r="M7" s="371">
        <f>SUM(M3:M5)*M6</f>
        <v>1636.4470000000001</v>
      </c>
      <c r="P7" s="145"/>
      <c r="Q7" s="146"/>
    </row>
    <row r="8" spans="1:29" ht="13.5" thickBot="1" x14ac:dyDescent="0.35">
      <c r="B8" s="162" t="s">
        <v>64</v>
      </c>
      <c r="C8" s="162"/>
      <c r="D8" s="163"/>
      <c r="E8" s="164"/>
      <c r="F8" s="165"/>
      <c r="P8" s="145"/>
      <c r="Q8" s="146"/>
    </row>
    <row r="9" spans="1:29" ht="15" thickBot="1" x14ac:dyDescent="0.4">
      <c r="B9" s="166"/>
      <c r="C9" s="166"/>
      <c r="D9" s="166"/>
      <c r="E9" s="167" t="s">
        <v>2</v>
      </c>
      <c r="F9" s="168">
        <f>SUM(F7:F8)</f>
        <v>14260.925062561615</v>
      </c>
      <c r="L9" s="366" t="s">
        <v>217</v>
      </c>
      <c r="M9" s="367"/>
      <c r="P9" s="145"/>
      <c r="Q9" s="146"/>
    </row>
    <row r="10" spans="1:29" ht="15" thickBot="1" x14ac:dyDescent="0.4">
      <c r="B10" s="166"/>
      <c r="C10" s="166"/>
      <c r="D10" s="166"/>
      <c r="E10" s="167" t="s">
        <v>1</v>
      </c>
      <c r="F10" s="169">
        <f>F9*G10</f>
        <v>1711.3110075073937</v>
      </c>
      <c r="G10" s="350">
        <v>0.12</v>
      </c>
      <c r="L10" s="170" t="s">
        <v>190</v>
      </c>
      <c r="M10" s="372">
        <f>M7</f>
        <v>1636.4470000000001</v>
      </c>
      <c r="N10" s="171"/>
      <c r="O10" s="171"/>
      <c r="P10" s="145"/>
      <c r="Q10" s="146"/>
      <c r="R10" s="147"/>
      <c r="S10" s="147"/>
      <c r="T10" s="300" t="s">
        <v>19</v>
      </c>
      <c r="U10" s="301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35">
      <c r="B11" s="173"/>
      <c r="C11" s="166"/>
      <c r="D11" s="166"/>
      <c r="E11" s="174" t="s">
        <v>0</v>
      </c>
      <c r="F11" s="175">
        <f>SUM(F9:F10)</f>
        <v>15972.236070069008</v>
      </c>
      <c r="L11" s="176" t="s">
        <v>191</v>
      </c>
      <c r="M11" s="384">
        <f>W5</f>
        <v>38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35">
      <c r="C12" s="137"/>
      <c r="D12" s="137"/>
      <c r="L12" s="179" t="s">
        <v>192</v>
      </c>
      <c r="M12" s="381">
        <f>+(M10/22)*M11</f>
        <v>2826.5902727272733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35">
      <c r="B13" s="291" t="s">
        <v>61</v>
      </c>
      <c r="C13" s="292"/>
      <c r="D13" s="292"/>
      <c r="E13" s="292"/>
      <c r="F13" s="293"/>
      <c r="L13" s="182" t="s">
        <v>193</v>
      </c>
      <c r="M13" s="373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35">
      <c r="B14" s="151" t="s">
        <v>62</v>
      </c>
      <c r="C14" s="307" t="s">
        <v>70</v>
      </c>
      <c r="D14" s="308"/>
      <c r="E14" s="151" t="s">
        <v>67</v>
      </c>
      <c r="F14" s="152" t="s">
        <v>4</v>
      </c>
      <c r="L14" s="183" t="s">
        <v>191</v>
      </c>
      <c r="M14" s="374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35">
      <c r="B15" s="187" t="s">
        <v>61</v>
      </c>
      <c r="C15" s="188">
        <f>H51</f>
        <v>3931.9628906250009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0.5</v>
      </c>
      <c r="F15" s="168">
        <f>C15*E15</f>
        <v>1965.9814453125005</v>
      </c>
      <c r="L15" s="191" t="s">
        <v>192</v>
      </c>
      <c r="M15" s="375">
        <f>+(M13/22)*M14</f>
        <v>0</v>
      </c>
      <c r="N15" s="137"/>
      <c r="O15" s="137"/>
      <c r="T15" s="180"/>
      <c r="U15" s="181">
        <v>0</v>
      </c>
    </row>
    <row r="16" spans="1:29" ht="15" thickBot="1" x14ac:dyDescent="0.4">
      <c r="B16" s="162"/>
      <c r="C16" s="162"/>
      <c r="D16" s="163"/>
      <c r="E16" s="164"/>
      <c r="F16" s="192"/>
      <c r="L16" s="193" t="s">
        <v>194</v>
      </c>
      <c r="M16" s="376">
        <v>0</v>
      </c>
      <c r="P16" s="364" t="s">
        <v>221</v>
      </c>
      <c r="Q16" s="365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3">
      <c r="B17" s="166"/>
      <c r="C17" s="166"/>
      <c r="D17" s="166"/>
      <c r="E17" s="167" t="s">
        <v>2</v>
      </c>
      <c r="F17" s="168">
        <f>SUM(F15:F16)</f>
        <v>1965.9814453125005</v>
      </c>
      <c r="L17" s="195" t="s">
        <v>191</v>
      </c>
      <c r="M17" s="377">
        <v>0</v>
      </c>
      <c r="N17" s="147"/>
      <c r="O17" s="147"/>
      <c r="P17" s="328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35">
      <c r="B18" s="166"/>
      <c r="C18" s="166"/>
      <c r="D18" s="166"/>
      <c r="E18" s="167" t="s">
        <v>1</v>
      </c>
      <c r="F18" s="169">
        <f>F17*G18</f>
        <v>235.91777343750005</v>
      </c>
      <c r="G18" s="350">
        <v>0.12</v>
      </c>
      <c r="L18" s="200" t="s">
        <v>192</v>
      </c>
      <c r="M18" s="382">
        <f>+(M16/22)*M17</f>
        <v>0</v>
      </c>
      <c r="P18" s="370" t="s">
        <v>13</v>
      </c>
      <c r="Q18" s="387">
        <f>((M34)+((M34)*Q27))*Q17</f>
        <v>1572.8961466060607</v>
      </c>
      <c r="T18" s="203"/>
      <c r="U18" s="204">
        <v>0</v>
      </c>
    </row>
    <row r="19" spans="2:29" ht="13.5" thickBot="1" x14ac:dyDescent="0.35">
      <c r="B19" s="173"/>
      <c r="C19" s="166"/>
      <c r="D19" s="166"/>
      <c r="E19" s="174" t="s">
        <v>0</v>
      </c>
      <c r="F19" s="175">
        <f>SUM(F17:F18)</f>
        <v>2201.8992187500007</v>
      </c>
      <c r="L19" s="205" t="s">
        <v>195</v>
      </c>
      <c r="M19" s="378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35">
      <c r="B20" s="206"/>
      <c r="C20" s="206"/>
      <c r="D20" s="206"/>
      <c r="E20" s="207"/>
      <c r="F20" s="208"/>
      <c r="L20" s="209" t="s">
        <v>191</v>
      </c>
      <c r="M20" s="379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" thickBot="1" x14ac:dyDescent="0.4">
      <c r="B21" s="206"/>
      <c r="C21" s="206"/>
      <c r="D21" s="206"/>
      <c r="E21" s="207"/>
      <c r="F21" s="208"/>
      <c r="L21" s="210" t="s">
        <v>192</v>
      </c>
      <c r="M21" s="383">
        <f>+(M19/22)*M20</f>
        <v>0</v>
      </c>
      <c r="P21" s="300" t="s">
        <v>11</v>
      </c>
      <c r="Q21" s="301"/>
    </row>
    <row r="22" spans="2:29" ht="13.5" thickBot="1" x14ac:dyDescent="0.35">
      <c r="B22" s="304"/>
      <c r="C22" s="304"/>
      <c r="D22" s="304"/>
      <c r="E22" s="304"/>
      <c r="F22" s="304"/>
      <c r="L22" s="185" t="s">
        <v>0</v>
      </c>
      <c r="M22" s="380">
        <f>+M18+M21+M15+M12</f>
        <v>2826.5902727272733</v>
      </c>
      <c r="P22" s="196" t="s">
        <v>12</v>
      </c>
      <c r="Q22" s="197">
        <v>0.13</v>
      </c>
    </row>
    <row r="23" spans="2:29" ht="15" thickBot="1" x14ac:dyDescent="0.4">
      <c r="B23" s="211" t="s">
        <v>72</v>
      </c>
      <c r="C23" s="212"/>
      <c r="D23" s="212"/>
      <c r="E23" s="212"/>
      <c r="F23" s="212"/>
      <c r="P23" s="201" t="s">
        <v>13</v>
      </c>
      <c r="Q23" s="202">
        <f>(M37+M38)*Q22</f>
        <v>1649.443759074222</v>
      </c>
    </row>
    <row r="24" spans="2:29" ht="13.5" thickBot="1" x14ac:dyDescent="0.35"/>
    <row r="25" spans="2:29" ht="15" thickBot="1" x14ac:dyDescent="0.4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4" t="s">
        <v>214</v>
      </c>
      <c r="M25" s="365"/>
      <c r="P25" s="217" t="s">
        <v>5</v>
      </c>
      <c r="Q25" s="218">
        <f>C7</f>
        <v>210000</v>
      </c>
      <c r="T25" s="185" t="s">
        <v>0</v>
      </c>
      <c r="U25" s="219">
        <f>SUM(U11:U18)</f>
        <v>0</v>
      </c>
    </row>
    <row r="26" spans="2:29" ht="13.5" thickBot="1" x14ac:dyDescent="0.3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3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4535.6135999999997</v>
      </c>
      <c r="P27" s="217" t="s">
        <v>15</v>
      </c>
      <c r="Q27" s="227">
        <v>0.4</v>
      </c>
      <c r="T27" s="185"/>
    </row>
    <row r="28" spans="2:29" ht="13.5" thickBot="1" x14ac:dyDescent="0.3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3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69">
        <f>SUM(M26:M28)</f>
        <v>4535.6135999999997</v>
      </c>
      <c r="P29" s="390" t="s">
        <v>206</v>
      </c>
      <c r="Q29" s="391"/>
    </row>
    <row r="30" spans="2:29" ht="13.5" thickBot="1" x14ac:dyDescent="0.3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88" t="s">
        <v>218</v>
      </c>
      <c r="Q30" s="389">
        <f>M22</f>
        <v>2826.5902727272733</v>
      </c>
    </row>
    <row r="31" spans="2:29" ht="15" thickBot="1" x14ac:dyDescent="0.4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23" t="s">
        <v>213</v>
      </c>
      <c r="M31" s="301"/>
      <c r="P31" s="343" t="s">
        <v>219</v>
      </c>
      <c r="Q31" s="344">
        <f>M29</f>
        <v>4535.6135999999997</v>
      </c>
      <c r="T31" s="323" t="s">
        <v>7</v>
      </c>
      <c r="U31" s="324"/>
      <c r="V31" s="325"/>
    </row>
    <row r="32" spans="2:29" ht="13.5" thickBot="1" x14ac:dyDescent="0.3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68" t="s">
        <v>215</v>
      </c>
      <c r="M32" s="229">
        <f>SUM(M29+M22)</f>
        <v>7362.2038727272729</v>
      </c>
      <c r="P32" s="343" t="s">
        <v>8</v>
      </c>
      <c r="Q32" s="344">
        <f>M33</f>
        <v>127.77777777777777</v>
      </c>
      <c r="T32" s="326" t="s">
        <v>6</v>
      </c>
      <c r="U32" s="327"/>
      <c r="V32" s="139">
        <v>386</v>
      </c>
    </row>
    <row r="33" spans="2:22" ht="13.5" thickBot="1" x14ac:dyDescent="0.3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343" t="s">
        <v>223</v>
      </c>
      <c r="Q33" s="344">
        <f>Q18</f>
        <v>1572.8961466060607</v>
      </c>
      <c r="T33" s="328" t="s">
        <v>198</v>
      </c>
      <c r="U33" s="329">
        <v>12</v>
      </c>
      <c r="V33" s="330">
        <f>$V$32/U33</f>
        <v>32.166666666666664</v>
      </c>
    </row>
    <row r="34" spans="2:22" ht="15" thickBot="1" x14ac:dyDescent="0.4">
      <c r="B34" s="232"/>
      <c r="L34" s="185" t="s">
        <v>0</v>
      </c>
      <c r="M34" s="386">
        <f>SUM(M32:M33)</f>
        <v>7489.9816505050503</v>
      </c>
      <c r="N34" s="385"/>
      <c r="T34" s="328" t="s">
        <v>199</v>
      </c>
      <c r="U34" s="329">
        <v>12</v>
      </c>
      <c r="V34" s="330">
        <f>(($V$32*U34)/U34)/U34</f>
        <v>32.166666666666664</v>
      </c>
    </row>
    <row r="35" spans="2:22" ht="13.5" thickBot="1" x14ac:dyDescent="0.35">
      <c r="P35" s="345" t="s">
        <v>207</v>
      </c>
      <c r="Q35" s="346">
        <f>SUM(Q30:Q34)</f>
        <v>9062.8777971111103</v>
      </c>
      <c r="T35" s="328" t="s">
        <v>200</v>
      </c>
      <c r="U35" s="329">
        <v>24</v>
      </c>
      <c r="V35" s="330">
        <f>(($V$32*U34)/U35)/12</f>
        <v>16.083333333333332</v>
      </c>
    </row>
    <row r="36" spans="2:22" ht="15" thickBot="1" x14ac:dyDescent="0.4">
      <c r="G36" s="233" t="s">
        <v>92</v>
      </c>
      <c r="H36" s="234">
        <f>C7</f>
        <v>210000</v>
      </c>
      <c r="L36" s="302" t="s">
        <v>196</v>
      </c>
      <c r="M36" s="303"/>
      <c r="T36" s="331" t="s">
        <v>201</v>
      </c>
      <c r="U36" s="332">
        <v>12</v>
      </c>
      <c r="V36" s="333">
        <f>(($V$32*U36)/U36)/U36</f>
        <v>32.166666666666664</v>
      </c>
    </row>
    <row r="37" spans="2:22" ht="13.5" thickBot="1" x14ac:dyDescent="0.35">
      <c r="G37" s="235" t="s">
        <v>89</v>
      </c>
      <c r="H37" s="236" t="s">
        <v>88</v>
      </c>
      <c r="L37" s="363" t="s">
        <v>220</v>
      </c>
      <c r="M37" s="229">
        <f>M34+Q18</f>
        <v>9062.8777971111103</v>
      </c>
      <c r="N37" s="237"/>
      <c r="O37" s="237"/>
      <c r="P37" s="347" t="s">
        <v>208</v>
      </c>
      <c r="Q37" s="348">
        <f>F7</f>
        <v>14260.925062561615</v>
      </c>
      <c r="T37" s="334" t="s">
        <v>202</v>
      </c>
      <c r="U37" s="335">
        <v>0.1215</v>
      </c>
      <c r="V37" s="336">
        <f>(V32*U37)</f>
        <v>46.899000000000001</v>
      </c>
    </row>
    <row r="38" spans="2:22" ht="13.5" thickBot="1" x14ac:dyDescent="0.35">
      <c r="G38" s="235" t="s">
        <v>74</v>
      </c>
      <c r="H38" s="236" t="s">
        <v>77</v>
      </c>
      <c r="L38" s="230" t="s">
        <v>14</v>
      </c>
      <c r="M38" s="238">
        <f>M37*Q27</f>
        <v>3625.1511188444442</v>
      </c>
      <c r="Q38" s="142"/>
      <c r="T38" s="337" t="s">
        <v>203</v>
      </c>
      <c r="U38" s="338"/>
      <c r="V38" s="149">
        <f>SUM(V33:V37)</f>
        <v>159.48233333333332</v>
      </c>
    </row>
    <row r="39" spans="2:22" ht="13.5" thickBot="1" x14ac:dyDescent="0.35">
      <c r="B39" s="239" t="s">
        <v>115</v>
      </c>
      <c r="C39" s="239" t="s">
        <v>119</v>
      </c>
      <c r="G39" s="235" t="s">
        <v>73</v>
      </c>
      <c r="H39" s="236" t="s">
        <v>82</v>
      </c>
      <c r="P39" s="394" t="s">
        <v>209</v>
      </c>
      <c r="Q39" s="395">
        <f>Q37-Q35</f>
        <v>5198.0472654505047</v>
      </c>
      <c r="T39" s="326" t="s">
        <v>204</v>
      </c>
      <c r="U39" s="327"/>
      <c r="V39" s="339">
        <f>V32+V38</f>
        <v>545.48233333333337</v>
      </c>
    </row>
    <row r="40" spans="2:22" ht="15" thickBot="1" x14ac:dyDescent="0.4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92"/>
      <c r="Q40" s="393"/>
      <c r="T40" s="340" t="s">
        <v>205</v>
      </c>
      <c r="U40" s="341">
        <v>1</v>
      </c>
      <c r="V40" s="342">
        <f>V39*U40</f>
        <v>545.48233333333337</v>
      </c>
    </row>
    <row r="41" spans="2:22" ht="13.5" thickBot="1" x14ac:dyDescent="0.35">
      <c r="B41" s="223" t="s">
        <v>110</v>
      </c>
      <c r="C41" s="273">
        <v>1.6</v>
      </c>
      <c r="L41" s="242" t="s">
        <v>16</v>
      </c>
      <c r="M41" s="243">
        <f>(M37+Q18)/Q25</f>
        <v>5.0646542589129387E-2</v>
      </c>
      <c r="P41" s="396" t="s">
        <v>224</v>
      </c>
      <c r="Q41" s="396"/>
    </row>
    <row r="42" spans="2:22" ht="13.5" thickBot="1" x14ac:dyDescent="0.35">
      <c r="B42" s="223" t="s">
        <v>111</v>
      </c>
      <c r="C42" s="273">
        <v>1.4</v>
      </c>
      <c r="G42" s="136" t="s">
        <v>100</v>
      </c>
      <c r="H42" s="244">
        <f>H36*H40</f>
        <v>1743000.0000000002</v>
      </c>
      <c r="I42" s="245" t="s">
        <v>99</v>
      </c>
      <c r="L42" s="242" t="s">
        <v>17</v>
      </c>
      <c r="M42" s="243">
        <f>(M37+M38+Q18)/Q25</f>
        <v>6.7909166964579118E-2</v>
      </c>
      <c r="P42" s="343" t="s">
        <v>225</v>
      </c>
      <c r="Q42" s="349">
        <f>Q23</f>
        <v>1649.443759074222</v>
      </c>
    </row>
    <row r="43" spans="2:22" ht="13.5" thickBot="1" x14ac:dyDescent="0.3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3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291" t="s">
        <v>128</v>
      </c>
      <c r="L44" s="292"/>
      <c r="M44" s="292"/>
      <c r="N44" s="293"/>
      <c r="O44" s="275"/>
      <c r="P44" s="343" t="s">
        <v>210</v>
      </c>
      <c r="Q44" s="360">
        <f>(Q42*R44)/Q22</f>
        <v>380.64086747866662</v>
      </c>
      <c r="R44" s="362">
        <v>0.03</v>
      </c>
    </row>
    <row r="45" spans="2:22" ht="13.5" thickBot="1" x14ac:dyDescent="0.3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55"/>
      <c r="P45" s="343" t="s">
        <v>212</v>
      </c>
      <c r="Q45" s="361">
        <f>(Q42*R45)/Q22</f>
        <v>1268.8028915955556</v>
      </c>
      <c r="R45" s="362">
        <v>0.1</v>
      </c>
    </row>
    <row r="46" spans="2:22" ht="14.5" x14ac:dyDescent="0.3">
      <c r="B46" s="223" t="s">
        <v>116</v>
      </c>
      <c r="C46" s="273">
        <v>0.6</v>
      </c>
      <c r="G46" s="136" t="s">
        <v>103</v>
      </c>
      <c r="H46" s="244">
        <f>(H42*H44)+H42</f>
        <v>1830150.0000000002</v>
      </c>
      <c r="I46" s="245" t="s">
        <v>99</v>
      </c>
      <c r="K46" s="294">
        <v>0</v>
      </c>
      <c r="L46" s="248" t="s">
        <v>120</v>
      </c>
      <c r="M46" s="297">
        <v>22000</v>
      </c>
      <c r="N46" s="297">
        <f>M46*K46</f>
        <v>0</v>
      </c>
      <c r="O46" s="356"/>
    </row>
    <row r="47" spans="2:22" ht="15.5" x14ac:dyDescent="0.35">
      <c r="B47" s="223" t="s">
        <v>118</v>
      </c>
      <c r="C47" s="273">
        <v>0.5</v>
      </c>
      <c r="G47" s="136" t="s">
        <v>104</v>
      </c>
      <c r="H47" s="249">
        <f>H46/H43</f>
        <v>1787.2558593750002</v>
      </c>
      <c r="I47" s="245" t="s">
        <v>106</v>
      </c>
      <c r="K47" s="295"/>
      <c r="L47" s="250" t="s">
        <v>121</v>
      </c>
      <c r="M47" s="298"/>
      <c r="N47" s="298"/>
      <c r="O47" s="356"/>
      <c r="P47" s="397" t="s">
        <v>211</v>
      </c>
      <c r="Q47" s="398">
        <f>Q39-Q42</f>
        <v>3548.6035063762829</v>
      </c>
    </row>
    <row r="48" spans="2:22" ht="14.5" x14ac:dyDescent="0.3">
      <c r="B48" s="223" t="s">
        <v>117</v>
      </c>
      <c r="C48" s="273">
        <v>0.35</v>
      </c>
      <c r="G48" s="136" t="s">
        <v>105</v>
      </c>
      <c r="H48" s="244">
        <f>H46*I48</f>
        <v>183015.00000000003</v>
      </c>
      <c r="I48" s="251">
        <v>0.1</v>
      </c>
      <c r="K48" s="295"/>
      <c r="L48" s="250" t="s">
        <v>122</v>
      </c>
      <c r="M48" s="298"/>
      <c r="N48" s="298"/>
      <c r="O48" s="356"/>
    </row>
    <row r="49" spans="7:15" ht="14.5" x14ac:dyDescent="0.3">
      <c r="G49" s="136" t="s">
        <v>107</v>
      </c>
      <c r="H49" s="252">
        <f>H48*12</f>
        <v>2196180.0000000005</v>
      </c>
      <c r="I49" s="245" t="s">
        <v>99</v>
      </c>
      <c r="K49" s="295"/>
      <c r="L49" s="250" t="s">
        <v>123</v>
      </c>
      <c r="M49" s="298"/>
      <c r="N49" s="298"/>
      <c r="O49" s="356"/>
    </row>
    <row r="50" spans="7:15" ht="14.5" x14ac:dyDescent="0.3">
      <c r="K50" s="295"/>
      <c r="L50" s="250" t="s">
        <v>124</v>
      </c>
      <c r="M50" s="298"/>
      <c r="N50" s="298"/>
      <c r="O50" s="356"/>
    </row>
    <row r="51" spans="7:15" ht="15" thickBot="1" x14ac:dyDescent="0.4">
      <c r="G51" s="253" t="s">
        <v>108</v>
      </c>
      <c r="H51" s="254">
        <f>(H46+H49)/H43</f>
        <v>3931.9628906250009</v>
      </c>
      <c r="I51" s="255" t="s">
        <v>106</v>
      </c>
      <c r="K51" s="296"/>
      <c r="L51" s="256" t="s">
        <v>125</v>
      </c>
      <c r="M51" s="299"/>
      <c r="N51" s="299"/>
      <c r="O51" s="356"/>
    </row>
    <row r="52" spans="7:15" ht="13.5" thickBot="1" x14ac:dyDescent="0.35">
      <c r="K52" s="257">
        <v>0</v>
      </c>
      <c r="L52" s="258" t="s">
        <v>126</v>
      </c>
      <c r="M52" s="259">
        <v>5000</v>
      </c>
      <c r="N52" s="259">
        <f>M52*K52</f>
        <v>0</v>
      </c>
      <c r="O52" s="357"/>
    </row>
    <row r="53" spans="7:15" ht="13.5" thickBot="1" x14ac:dyDescent="0.35">
      <c r="K53" s="257">
        <v>0</v>
      </c>
      <c r="L53" s="258" t="s">
        <v>127</v>
      </c>
      <c r="M53" s="259">
        <v>9900</v>
      </c>
      <c r="N53" s="259">
        <f>M53*K53</f>
        <v>0</v>
      </c>
      <c r="O53" s="357"/>
    </row>
    <row r="54" spans="7:15" ht="13.5" thickBot="1" x14ac:dyDescent="0.35">
      <c r="O54" s="358"/>
    </row>
    <row r="55" spans="7:15" ht="13.5" thickBot="1" x14ac:dyDescent="0.35">
      <c r="M55" s="151" t="s">
        <v>0</v>
      </c>
      <c r="N55" s="259">
        <f>SUM(N46:N53)</f>
        <v>0</v>
      </c>
      <c r="O55" s="357"/>
    </row>
    <row r="56" spans="7:15" x14ac:dyDescent="0.3">
      <c r="O56" s="358"/>
    </row>
    <row r="57" spans="7:15" ht="13.5" thickBot="1" x14ac:dyDescent="0.35">
      <c r="O57" s="358"/>
    </row>
    <row r="58" spans="7:15" ht="14.5" x14ac:dyDescent="0.35">
      <c r="K58" s="282" t="s">
        <v>130</v>
      </c>
      <c r="L58" s="283"/>
      <c r="M58" s="283"/>
      <c r="N58" s="284"/>
      <c r="O58" s="359"/>
    </row>
    <row r="59" spans="7:15" ht="14.5" x14ac:dyDescent="0.35">
      <c r="K59" s="285" t="s">
        <v>131</v>
      </c>
      <c r="L59" s="286"/>
      <c r="M59" s="286"/>
      <c r="N59" s="287"/>
      <c r="O59" s="359"/>
    </row>
    <row r="60" spans="7:15" ht="15" thickBot="1" x14ac:dyDescent="0.4">
      <c r="K60" s="288" t="s">
        <v>187</v>
      </c>
      <c r="L60" s="289"/>
      <c r="M60" s="289"/>
      <c r="N60" s="290"/>
      <c r="O60" s="359"/>
    </row>
    <row r="61" spans="7:15" ht="13.5" thickBot="1" x14ac:dyDescent="0.35">
      <c r="K61" s="247" t="s">
        <v>52</v>
      </c>
      <c r="L61" s="247" t="s">
        <v>132</v>
      </c>
      <c r="M61" s="247" t="s">
        <v>133</v>
      </c>
      <c r="N61" s="247" t="s">
        <v>134</v>
      </c>
      <c r="O61" s="355"/>
    </row>
    <row r="62" spans="7:15" x14ac:dyDescent="0.3">
      <c r="K62" s="260">
        <v>0</v>
      </c>
      <c r="L62" s="261" t="s">
        <v>135</v>
      </c>
      <c r="M62" s="262" t="s">
        <v>136</v>
      </c>
      <c r="N62" s="263">
        <v>0</v>
      </c>
      <c r="O62" s="351"/>
    </row>
    <row r="63" spans="7:15" x14ac:dyDescent="0.3">
      <c r="K63" s="260">
        <v>0</v>
      </c>
      <c r="L63" s="264" t="s">
        <v>137</v>
      </c>
      <c r="M63" s="260" t="s">
        <v>138</v>
      </c>
      <c r="N63" s="265">
        <v>859.68</v>
      </c>
      <c r="O63" s="351"/>
    </row>
    <row r="64" spans="7:15" x14ac:dyDescent="0.3">
      <c r="K64" s="260">
        <v>0</v>
      </c>
      <c r="L64" s="264" t="s">
        <v>139</v>
      </c>
      <c r="M64" s="260" t="s">
        <v>140</v>
      </c>
      <c r="N64" s="265">
        <v>15703</v>
      </c>
      <c r="O64" s="351"/>
    </row>
    <row r="65" spans="11:15" x14ac:dyDescent="0.3">
      <c r="K65" s="260">
        <v>0</v>
      </c>
      <c r="L65" s="264" t="s">
        <v>141</v>
      </c>
      <c r="M65" s="260" t="s">
        <v>142</v>
      </c>
      <c r="N65" s="265">
        <v>0</v>
      </c>
      <c r="O65" s="351"/>
    </row>
    <row r="66" spans="11:15" x14ac:dyDescent="0.3">
      <c r="K66" s="260">
        <v>0</v>
      </c>
      <c r="L66" s="264" t="s">
        <v>143</v>
      </c>
      <c r="M66" s="260" t="s">
        <v>144</v>
      </c>
      <c r="N66" s="265">
        <v>520.48</v>
      </c>
      <c r="O66" s="351"/>
    </row>
    <row r="67" spans="11:15" x14ac:dyDescent="0.3">
      <c r="K67" s="260">
        <v>0</v>
      </c>
      <c r="L67" s="264" t="s">
        <v>145</v>
      </c>
      <c r="M67" s="260" t="s">
        <v>146</v>
      </c>
      <c r="N67" s="265">
        <v>3920</v>
      </c>
      <c r="O67" s="351"/>
    </row>
    <row r="68" spans="11:15" ht="13.5" thickBot="1" x14ac:dyDescent="0.35">
      <c r="K68" s="266">
        <v>0</v>
      </c>
      <c r="L68" s="267" t="s">
        <v>147</v>
      </c>
      <c r="M68" s="266" t="s">
        <v>148</v>
      </c>
      <c r="N68" s="268">
        <v>595</v>
      </c>
      <c r="O68" s="351"/>
    </row>
    <row r="69" spans="11:15" ht="13.5" thickBot="1" x14ac:dyDescent="0.35"/>
    <row r="70" spans="11:15" ht="15" thickBot="1" x14ac:dyDescent="0.35">
      <c r="M70" s="269" t="s">
        <v>0</v>
      </c>
      <c r="N70" s="259">
        <f>SUM(N62:N69)</f>
        <v>21598.16</v>
      </c>
      <c r="O70" s="352"/>
    </row>
    <row r="71" spans="11:15" ht="13.5" thickBot="1" x14ac:dyDescent="0.35"/>
    <row r="72" spans="11:15" ht="15" thickBot="1" x14ac:dyDescent="0.35">
      <c r="M72" s="269" t="s">
        <v>188</v>
      </c>
      <c r="N72" s="270">
        <v>1000000</v>
      </c>
      <c r="O72" s="353"/>
    </row>
    <row r="73" spans="11:15" ht="13.5" thickBot="1" x14ac:dyDescent="0.35"/>
    <row r="74" spans="11:15" ht="15" thickBot="1" x14ac:dyDescent="0.35">
      <c r="M74" s="271" t="s">
        <v>189</v>
      </c>
      <c r="N74" s="272">
        <f>N70/N72</f>
        <v>2.1598159999999998E-2</v>
      </c>
      <c r="O74" s="354"/>
    </row>
  </sheetData>
  <mergeCells count="27">
    <mergeCell ref="P41:Q41"/>
    <mergeCell ref="T38:U38"/>
    <mergeCell ref="T39:U39"/>
    <mergeCell ref="P29:Q29"/>
    <mergeCell ref="P21:Q21"/>
    <mergeCell ref="L2:M2"/>
    <mergeCell ref="P2:Q2"/>
    <mergeCell ref="B5:F5"/>
    <mergeCell ref="L9:M9"/>
    <mergeCell ref="L25:M25"/>
    <mergeCell ref="C6:D6"/>
    <mergeCell ref="C14:D14"/>
    <mergeCell ref="T10:U10"/>
    <mergeCell ref="L31:M31"/>
    <mergeCell ref="P16:Q16"/>
    <mergeCell ref="B13:F13"/>
    <mergeCell ref="L36:M36"/>
    <mergeCell ref="B22:F22"/>
    <mergeCell ref="T31:V31"/>
    <mergeCell ref="T32:U3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2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90C87-83A2-4DCD-9D65-7DB903B73EE3}">
  <dimension ref="A1:AC74"/>
  <sheetViews>
    <sheetView showGridLines="0" zoomScale="70" zoomScaleNormal="70" workbookViewId="0">
      <selection activeCell="P50" sqref="P50"/>
    </sheetView>
  </sheetViews>
  <sheetFormatPr baseColWidth="10" defaultColWidth="8.7265625" defaultRowHeight="13" x14ac:dyDescent="0.3"/>
  <cols>
    <col min="1" max="1" width="7.81640625" style="130" customWidth="1"/>
    <col min="2" max="2" width="26.1796875" style="130" bestFit="1" customWidth="1"/>
    <col min="3" max="3" width="9.81640625" style="130" bestFit="1" customWidth="1"/>
    <col min="4" max="4" width="10.1796875" style="130" customWidth="1"/>
    <col min="5" max="5" width="16" style="130" bestFit="1" customWidth="1"/>
    <col min="6" max="6" width="20.54296875" style="130" customWidth="1"/>
    <col min="7" max="7" width="17.6328125" style="130" bestFit="1" customWidth="1"/>
    <col min="8" max="8" width="12.453125" style="130" bestFit="1" customWidth="1"/>
    <col min="9" max="9" width="4.54296875" style="130" bestFit="1" customWidth="1"/>
    <col min="10" max="11" width="12" style="130" customWidth="1"/>
    <col min="12" max="12" width="43.54296875" style="130" customWidth="1"/>
    <col min="13" max="13" width="22.453125" style="130" bestFit="1" customWidth="1"/>
    <col min="14" max="14" width="11" style="130" bestFit="1" customWidth="1"/>
    <col min="15" max="15" width="11" style="130" customWidth="1"/>
    <col min="16" max="16" width="34.81640625" style="130" customWidth="1"/>
    <col min="17" max="17" width="25.26953125" style="130" customWidth="1"/>
    <col min="18" max="18" width="4.1796875" style="130" bestFit="1" customWidth="1"/>
    <col min="19" max="19" width="10.453125" style="130" customWidth="1"/>
    <col min="20" max="20" width="19.36328125" style="130" customWidth="1"/>
    <col min="21" max="21" width="17.7265625" style="130" bestFit="1" customWidth="1"/>
    <col min="22" max="22" width="13.6328125" style="130" bestFit="1" customWidth="1"/>
    <col min="23" max="23" width="12.81640625" style="130" customWidth="1"/>
    <col min="24" max="24" width="13.1796875" style="130" customWidth="1"/>
    <col min="25" max="26" width="8.7265625" style="130"/>
    <col min="27" max="27" width="9.7265625" style="130" customWidth="1"/>
    <col min="28" max="16384" width="8.7265625" style="130"/>
  </cols>
  <sheetData>
    <row r="1" spans="1:29" ht="13.5" thickBot="1" x14ac:dyDescent="0.3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" thickBot="1" x14ac:dyDescent="0.4">
      <c r="B2" s="132"/>
      <c r="C2" s="132"/>
      <c r="D2" s="133"/>
      <c r="E2" s="134"/>
      <c r="F2" s="135"/>
      <c r="L2" s="364" t="s">
        <v>7</v>
      </c>
      <c r="M2" s="365"/>
      <c r="P2" s="305" t="s">
        <v>8</v>
      </c>
      <c r="Q2" s="306"/>
      <c r="T2" s="130" t="s">
        <v>20</v>
      </c>
      <c r="U2" s="136">
        <v>800</v>
      </c>
      <c r="V2" s="136">
        <v>16</v>
      </c>
      <c r="W2" s="136">
        <v>6</v>
      </c>
      <c r="X2" s="136">
        <f>V2</f>
        <v>16</v>
      </c>
      <c r="Y2" s="136">
        <f>U2/36*V2*W2</f>
        <v>2133.333333333333</v>
      </c>
    </row>
    <row r="3" spans="1:29" x14ac:dyDescent="0.3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3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35">
      <c r="B5" s="291" t="s">
        <v>71</v>
      </c>
      <c r="C5" s="292"/>
      <c r="D5" s="292"/>
      <c r="E5" s="292"/>
      <c r="F5" s="293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16</v>
      </c>
      <c r="X5" s="150">
        <f>U5/36*V5*W5</f>
        <v>1600</v>
      </c>
    </row>
    <row r="6" spans="1:29" ht="15.75" customHeight="1" thickBot="1" x14ac:dyDescent="0.35">
      <c r="B6" s="151" t="s">
        <v>3</v>
      </c>
      <c r="C6" s="307" t="s">
        <v>66</v>
      </c>
      <c r="D6" s="308"/>
      <c r="E6" s="151" t="s">
        <v>67</v>
      </c>
      <c r="F6" s="274" t="s">
        <v>4</v>
      </c>
      <c r="L6" s="153" t="s">
        <v>156</v>
      </c>
      <c r="M6" s="154">
        <f>V5</f>
        <v>6</v>
      </c>
      <c r="P6" s="145"/>
      <c r="Q6" s="146"/>
      <c r="W6" s="155"/>
    </row>
    <row r="7" spans="1:29" ht="13.5" thickBot="1" x14ac:dyDescent="0.35">
      <c r="A7" s="147"/>
      <c r="B7" s="156" t="s">
        <v>65</v>
      </c>
      <c r="C7" s="157">
        <v>70000</v>
      </c>
      <c r="D7" s="158" t="s">
        <v>68</v>
      </c>
      <c r="E7" s="159">
        <f>M42</f>
        <v>0.10934224623191921</v>
      </c>
      <c r="F7" s="160">
        <f>E7*C7</f>
        <v>7653.9572362343451</v>
      </c>
      <c r="L7" s="370" t="s">
        <v>216</v>
      </c>
      <c r="M7" s="371">
        <f>SUM(M3:M5)*M6</f>
        <v>3272.8940000000002</v>
      </c>
      <c r="P7" s="145"/>
      <c r="Q7" s="146"/>
    </row>
    <row r="8" spans="1:29" ht="13.5" thickBot="1" x14ac:dyDescent="0.35">
      <c r="B8" s="162" t="s">
        <v>64</v>
      </c>
      <c r="C8" s="162"/>
      <c r="D8" s="163"/>
      <c r="E8" s="164"/>
      <c r="F8" s="165"/>
      <c r="P8" s="145"/>
      <c r="Q8" s="146"/>
    </row>
    <row r="9" spans="1:29" ht="15" thickBot="1" x14ac:dyDescent="0.4">
      <c r="B9" s="166"/>
      <c r="C9" s="166"/>
      <c r="D9" s="166"/>
      <c r="E9" s="167" t="s">
        <v>2</v>
      </c>
      <c r="F9" s="168">
        <f>SUM(F7:F8)</f>
        <v>7653.9572362343451</v>
      </c>
      <c r="L9" s="366" t="s">
        <v>217</v>
      </c>
      <c r="M9" s="367"/>
      <c r="P9" s="145"/>
      <c r="Q9" s="146"/>
    </row>
    <row r="10" spans="1:29" ht="15" thickBot="1" x14ac:dyDescent="0.4">
      <c r="B10" s="166"/>
      <c r="C10" s="166"/>
      <c r="D10" s="166"/>
      <c r="E10" s="167" t="s">
        <v>1</v>
      </c>
      <c r="F10" s="169">
        <f>F9*G10</f>
        <v>918.47486834812139</v>
      </c>
      <c r="G10" s="350">
        <v>0.12</v>
      </c>
      <c r="L10" s="170" t="s">
        <v>190</v>
      </c>
      <c r="M10" s="372">
        <f>M7</f>
        <v>3272.8940000000002</v>
      </c>
      <c r="N10" s="171"/>
      <c r="O10" s="171"/>
      <c r="P10" s="145"/>
      <c r="Q10" s="146"/>
      <c r="R10" s="147"/>
      <c r="S10" s="147"/>
      <c r="T10" s="300" t="s">
        <v>19</v>
      </c>
      <c r="U10" s="301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35">
      <c r="B11" s="173"/>
      <c r="C11" s="166"/>
      <c r="D11" s="166"/>
      <c r="E11" s="174" t="s">
        <v>0</v>
      </c>
      <c r="F11" s="175">
        <f>SUM(F9:F10)</f>
        <v>8572.4321045824672</v>
      </c>
      <c r="L11" s="176" t="s">
        <v>191</v>
      </c>
      <c r="M11" s="384">
        <f>W5</f>
        <v>16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35">
      <c r="C12" s="137"/>
      <c r="D12" s="137"/>
      <c r="L12" s="179" t="s">
        <v>192</v>
      </c>
      <c r="M12" s="381">
        <f>+(M10/22)*M11</f>
        <v>2380.2865454545458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35">
      <c r="B13" s="291" t="s">
        <v>61</v>
      </c>
      <c r="C13" s="292"/>
      <c r="D13" s="292"/>
      <c r="E13" s="292"/>
      <c r="F13" s="293"/>
      <c r="L13" s="182" t="s">
        <v>193</v>
      </c>
      <c r="M13" s="373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35">
      <c r="B14" s="151" t="s">
        <v>62</v>
      </c>
      <c r="C14" s="307" t="s">
        <v>70</v>
      </c>
      <c r="D14" s="308"/>
      <c r="E14" s="151" t="s">
        <v>67</v>
      </c>
      <c r="F14" s="274" t="s">
        <v>4</v>
      </c>
      <c r="L14" s="183" t="s">
        <v>191</v>
      </c>
      <c r="M14" s="374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35">
      <c r="B15" s="187" t="s">
        <v>61</v>
      </c>
      <c r="C15" s="188">
        <f>H51</f>
        <v>1310.654296875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0.6</v>
      </c>
      <c r="F15" s="168">
        <f>C15*E15</f>
        <v>786.392578125</v>
      </c>
      <c r="L15" s="191" t="s">
        <v>192</v>
      </c>
      <c r="M15" s="375">
        <f>+(M13/22)*M14</f>
        <v>0</v>
      </c>
      <c r="N15" s="137"/>
      <c r="O15" s="137"/>
      <c r="T15" s="180"/>
      <c r="U15" s="181">
        <v>0</v>
      </c>
    </row>
    <row r="16" spans="1:29" ht="15" thickBot="1" x14ac:dyDescent="0.4">
      <c r="B16" s="162"/>
      <c r="C16" s="162"/>
      <c r="D16" s="163"/>
      <c r="E16" s="164"/>
      <c r="F16" s="192"/>
      <c r="L16" s="193" t="s">
        <v>194</v>
      </c>
      <c r="M16" s="376">
        <v>0</v>
      </c>
      <c r="P16" s="364" t="s">
        <v>221</v>
      </c>
      <c r="Q16" s="365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3">
      <c r="B17" s="166"/>
      <c r="C17" s="166"/>
      <c r="D17" s="166"/>
      <c r="E17" s="167" t="s">
        <v>2</v>
      </c>
      <c r="F17" s="168">
        <f>SUM(F15:F16)</f>
        <v>786.392578125</v>
      </c>
      <c r="L17" s="195" t="s">
        <v>191</v>
      </c>
      <c r="M17" s="377">
        <v>0</v>
      </c>
      <c r="N17" s="147"/>
      <c r="O17" s="147"/>
      <c r="P17" s="328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35">
      <c r="B18" s="166"/>
      <c r="C18" s="166"/>
      <c r="D18" s="166"/>
      <c r="E18" s="167" t="s">
        <v>1</v>
      </c>
      <c r="F18" s="169">
        <f>F17*G18</f>
        <v>94.367109374999998</v>
      </c>
      <c r="G18" s="350">
        <v>0.12</v>
      </c>
      <c r="L18" s="200" t="s">
        <v>192</v>
      </c>
      <c r="M18" s="382">
        <f>+(M16/22)*M17</f>
        <v>0</v>
      </c>
      <c r="P18" s="370" t="s">
        <v>13</v>
      </c>
      <c r="Q18" s="387">
        <f>((M34)+((M34)*Q27))*Q17</f>
        <v>844.18645987878801</v>
      </c>
      <c r="T18" s="203"/>
      <c r="U18" s="204">
        <v>0</v>
      </c>
    </row>
    <row r="19" spans="2:29" ht="13.5" thickBot="1" x14ac:dyDescent="0.35">
      <c r="B19" s="173"/>
      <c r="C19" s="166"/>
      <c r="D19" s="166"/>
      <c r="E19" s="174" t="s">
        <v>0</v>
      </c>
      <c r="F19" s="175">
        <f>SUM(F17:F18)</f>
        <v>880.75968750000004</v>
      </c>
      <c r="L19" s="205" t="s">
        <v>195</v>
      </c>
      <c r="M19" s="378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35">
      <c r="B20" s="206"/>
      <c r="C20" s="206"/>
      <c r="D20" s="206"/>
      <c r="E20" s="207"/>
      <c r="F20" s="208"/>
      <c r="L20" s="209" t="s">
        <v>191</v>
      </c>
      <c r="M20" s="379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" thickBot="1" x14ac:dyDescent="0.4">
      <c r="B21" s="206"/>
      <c r="C21" s="206"/>
      <c r="D21" s="206"/>
      <c r="E21" s="207"/>
      <c r="F21" s="208"/>
      <c r="L21" s="210" t="s">
        <v>192</v>
      </c>
      <c r="M21" s="383">
        <f>+(M19/22)*M20</f>
        <v>0</v>
      </c>
      <c r="P21" s="300" t="s">
        <v>11</v>
      </c>
      <c r="Q21" s="301"/>
    </row>
    <row r="22" spans="2:29" ht="13.5" thickBot="1" x14ac:dyDescent="0.35">
      <c r="B22" s="304"/>
      <c r="C22" s="304"/>
      <c r="D22" s="304"/>
      <c r="E22" s="304"/>
      <c r="F22" s="304"/>
      <c r="L22" s="185" t="s">
        <v>0</v>
      </c>
      <c r="M22" s="380">
        <f>+M18+M21+M15+M12</f>
        <v>2380.2865454545458</v>
      </c>
      <c r="P22" s="196" t="s">
        <v>12</v>
      </c>
      <c r="Q22" s="197">
        <v>0.13</v>
      </c>
    </row>
    <row r="23" spans="2:29" ht="15" thickBot="1" x14ac:dyDescent="0.4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885.27020092622251</v>
      </c>
    </row>
    <row r="24" spans="2:29" ht="13.5" thickBot="1" x14ac:dyDescent="0.35"/>
    <row r="25" spans="2:29" ht="15" thickBot="1" x14ac:dyDescent="0.4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4" t="s">
        <v>214</v>
      </c>
      <c r="M25" s="365"/>
      <c r="P25" s="217" t="s">
        <v>5</v>
      </c>
      <c r="Q25" s="218">
        <f>C7</f>
        <v>70000</v>
      </c>
      <c r="T25" s="185" t="s">
        <v>0</v>
      </c>
      <c r="U25" s="219">
        <f>SUM(U11:U18)</f>
        <v>0</v>
      </c>
    </row>
    <row r="26" spans="2:29" ht="13.5" thickBot="1" x14ac:dyDescent="0.3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3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1511.8711999999998</v>
      </c>
      <c r="P27" s="217" t="s">
        <v>15</v>
      </c>
      <c r="Q27" s="227">
        <v>0.4</v>
      </c>
      <c r="T27" s="185"/>
    </row>
    <row r="28" spans="2:29" ht="13.5" thickBot="1" x14ac:dyDescent="0.3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3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69">
        <f>SUM(M26:M28)</f>
        <v>1511.8711999999998</v>
      </c>
      <c r="P29" s="390" t="s">
        <v>206</v>
      </c>
      <c r="Q29" s="391"/>
    </row>
    <row r="30" spans="2:29" ht="13.5" thickBot="1" x14ac:dyDescent="0.3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88" t="s">
        <v>218</v>
      </c>
      <c r="Q30" s="389">
        <f>M22</f>
        <v>2380.2865454545458</v>
      </c>
    </row>
    <row r="31" spans="2:29" ht="15" thickBot="1" x14ac:dyDescent="0.4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23" t="s">
        <v>213</v>
      </c>
      <c r="M31" s="301"/>
      <c r="P31" s="343" t="s">
        <v>219</v>
      </c>
      <c r="Q31" s="344">
        <f>M29</f>
        <v>1511.8711999999998</v>
      </c>
      <c r="T31" s="323" t="s">
        <v>7</v>
      </c>
      <c r="U31" s="324"/>
      <c r="V31" s="325"/>
    </row>
    <row r="32" spans="2:29" ht="13.5" thickBot="1" x14ac:dyDescent="0.3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68" t="s">
        <v>215</v>
      </c>
      <c r="M32" s="229">
        <f>SUM(M29+M22)</f>
        <v>3892.1577454545459</v>
      </c>
      <c r="P32" s="343" t="s">
        <v>8</v>
      </c>
      <c r="Q32" s="344">
        <f>M33</f>
        <v>127.77777777777777</v>
      </c>
      <c r="T32" s="326" t="s">
        <v>6</v>
      </c>
      <c r="U32" s="327"/>
      <c r="V32" s="139">
        <v>386</v>
      </c>
    </row>
    <row r="33" spans="2:22" ht="13.5" thickBot="1" x14ac:dyDescent="0.3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343" t="s">
        <v>223</v>
      </c>
      <c r="Q33" s="344">
        <f>Q18</f>
        <v>844.18645987878801</v>
      </c>
      <c r="T33" s="328" t="s">
        <v>198</v>
      </c>
      <c r="U33" s="329">
        <v>12</v>
      </c>
      <c r="V33" s="330">
        <f>$V$32/U33</f>
        <v>32.166666666666664</v>
      </c>
    </row>
    <row r="34" spans="2:22" ht="15" thickBot="1" x14ac:dyDescent="0.4">
      <c r="B34" s="232"/>
      <c r="L34" s="185" t="s">
        <v>0</v>
      </c>
      <c r="M34" s="386">
        <f>SUM(M32:M33)</f>
        <v>4019.9355232323237</v>
      </c>
      <c r="N34" s="385"/>
      <c r="T34" s="328" t="s">
        <v>199</v>
      </c>
      <c r="U34" s="329">
        <v>12</v>
      </c>
      <c r="V34" s="330">
        <f>(($V$32*U34)/U34)/U34</f>
        <v>32.166666666666664</v>
      </c>
    </row>
    <row r="35" spans="2:22" ht="13.5" thickBot="1" x14ac:dyDescent="0.35">
      <c r="P35" s="345" t="s">
        <v>207</v>
      </c>
      <c r="Q35" s="346">
        <f>SUM(Q30:Q34)</f>
        <v>4864.1219831111121</v>
      </c>
      <c r="T35" s="328" t="s">
        <v>200</v>
      </c>
      <c r="U35" s="329">
        <v>24</v>
      </c>
      <c r="V35" s="330">
        <f>(($V$32*U34)/U35)/12</f>
        <v>16.083333333333332</v>
      </c>
    </row>
    <row r="36" spans="2:22" ht="15" thickBot="1" x14ac:dyDescent="0.4">
      <c r="G36" s="233" t="s">
        <v>92</v>
      </c>
      <c r="H36" s="234">
        <f>C7</f>
        <v>70000</v>
      </c>
      <c r="L36" s="302" t="s">
        <v>196</v>
      </c>
      <c r="M36" s="303"/>
      <c r="T36" s="331" t="s">
        <v>201</v>
      </c>
      <c r="U36" s="332">
        <v>12</v>
      </c>
      <c r="V36" s="333">
        <f>(($V$32*U36)/U36)/U36</f>
        <v>32.166666666666664</v>
      </c>
    </row>
    <row r="37" spans="2:22" ht="13.5" thickBot="1" x14ac:dyDescent="0.35">
      <c r="G37" s="235" t="s">
        <v>89</v>
      </c>
      <c r="H37" s="236" t="s">
        <v>88</v>
      </c>
      <c r="L37" s="363" t="s">
        <v>220</v>
      </c>
      <c r="M37" s="229">
        <f>M34+Q18</f>
        <v>4864.1219831111121</v>
      </c>
      <c r="N37" s="237"/>
      <c r="O37" s="237"/>
      <c r="P37" s="347" t="s">
        <v>208</v>
      </c>
      <c r="Q37" s="348">
        <f>F7</f>
        <v>7653.9572362343451</v>
      </c>
      <c r="T37" s="334" t="s">
        <v>202</v>
      </c>
      <c r="U37" s="335">
        <v>0.1215</v>
      </c>
      <c r="V37" s="336">
        <f>(V32*U37)</f>
        <v>46.899000000000001</v>
      </c>
    </row>
    <row r="38" spans="2:22" ht="13.5" thickBot="1" x14ac:dyDescent="0.35">
      <c r="G38" s="235" t="s">
        <v>74</v>
      </c>
      <c r="H38" s="236" t="s">
        <v>77</v>
      </c>
      <c r="L38" s="230" t="s">
        <v>14</v>
      </c>
      <c r="M38" s="238">
        <f>M37*Q27</f>
        <v>1945.648793244445</v>
      </c>
      <c r="Q38" s="142"/>
      <c r="T38" s="337" t="s">
        <v>203</v>
      </c>
      <c r="U38" s="338"/>
      <c r="V38" s="149">
        <f>SUM(V33:V37)</f>
        <v>159.48233333333332</v>
      </c>
    </row>
    <row r="39" spans="2:22" ht="13.5" thickBot="1" x14ac:dyDescent="0.35">
      <c r="B39" s="239" t="s">
        <v>115</v>
      </c>
      <c r="C39" s="239" t="s">
        <v>119</v>
      </c>
      <c r="G39" s="235" t="s">
        <v>73</v>
      </c>
      <c r="H39" s="236" t="s">
        <v>82</v>
      </c>
      <c r="P39" s="394" t="s">
        <v>209</v>
      </c>
      <c r="Q39" s="395">
        <f>Q37-Q35</f>
        <v>2789.8352531232331</v>
      </c>
      <c r="T39" s="326" t="s">
        <v>204</v>
      </c>
      <c r="U39" s="327"/>
      <c r="V39" s="339">
        <f>V32+V38</f>
        <v>545.48233333333337</v>
      </c>
    </row>
    <row r="40" spans="2:22" ht="15" thickBot="1" x14ac:dyDescent="0.4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92"/>
      <c r="Q40" s="393"/>
      <c r="T40" s="340" t="s">
        <v>205</v>
      </c>
      <c r="U40" s="341">
        <v>1</v>
      </c>
      <c r="V40" s="342">
        <f>V39*U40</f>
        <v>545.48233333333337</v>
      </c>
    </row>
    <row r="41" spans="2:22" ht="13.5" thickBot="1" x14ac:dyDescent="0.35">
      <c r="B41" s="223" t="s">
        <v>110</v>
      </c>
      <c r="C41" s="273">
        <v>1.6</v>
      </c>
      <c r="L41" s="242" t="s">
        <v>16</v>
      </c>
      <c r="M41" s="243">
        <f>(M37+Q18)/Q25</f>
        <v>8.1547263471284284E-2</v>
      </c>
      <c r="P41" s="396" t="s">
        <v>224</v>
      </c>
      <c r="Q41" s="396"/>
    </row>
    <row r="42" spans="2:22" ht="13.5" thickBot="1" x14ac:dyDescent="0.35">
      <c r="B42" s="223" t="s">
        <v>111</v>
      </c>
      <c r="C42" s="273">
        <v>1.4</v>
      </c>
      <c r="G42" s="136" t="s">
        <v>100</v>
      </c>
      <c r="H42" s="244">
        <f>H36*H40</f>
        <v>581000</v>
      </c>
      <c r="I42" s="245" t="s">
        <v>99</v>
      </c>
      <c r="L42" s="242" t="s">
        <v>17</v>
      </c>
      <c r="M42" s="243">
        <f>(M37+M38+Q18)/Q25</f>
        <v>0.10934224623191921</v>
      </c>
      <c r="P42" s="343" t="s">
        <v>225</v>
      </c>
      <c r="Q42" s="349">
        <f>Q23</f>
        <v>885.27020092622251</v>
      </c>
    </row>
    <row r="43" spans="2:22" ht="13.5" thickBot="1" x14ac:dyDescent="0.3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3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291" t="s">
        <v>128</v>
      </c>
      <c r="L44" s="292"/>
      <c r="M44" s="292"/>
      <c r="N44" s="293"/>
      <c r="O44" s="275"/>
      <c r="P44" s="343" t="s">
        <v>210</v>
      </c>
      <c r="Q44" s="360">
        <f>(Q42*R44)/Q22</f>
        <v>204.29312329066673</v>
      </c>
      <c r="R44" s="362">
        <v>0.03</v>
      </c>
    </row>
    <row r="45" spans="2:22" ht="13.5" thickBot="1" x14ac:dyDescent="0.3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55"/>
      <c r="P45" s="343" t="s">
        <v>212</v>
      </c>
      <c r="Q45" s="361">
        <f>(Q42*R45)/Q22</f>
        <v>680.9770776355557</v>
      </c>
      <c r="R45" s="362">
        <v>0.1</v>
      </c>
    </row>
    <row r="46" spans="2:22" ht="14.5" x14ac:dyDescent="0.3">
      <c r="B46" s="223" t="s">
        <v>116</v>
      </c>
      <c r="C46" s="273">
        <v>0.6</v>
      </c>
      <c r="G46" s="136" t="s">
        <v>103</v>
      </c>
      <c r="H46" s="244">
        <f>(H42*H44)+H42</f>
        <v>610050</v>
      </c>
      <c r="I46" s="245" t="s">
        <v>99</v>
      </c>
      <c r="K46" s="294">
        <v>0</v>
      </c>
      <c r="L46" s="248" t="s">
        <v>120</v>
      </c>
      <c r="M46" s="297">
        <v>22000</v>
      </c>
      <c r="N46" s="297">
        <f>M46*K46</f>
        <v>0</v>
      </c>
      <c r="O46" s="356"/>
    </row>
    <row r="47" spans="2:22" ht="15.5" x14ac:dyDescent="0.35">
      <c r="B47" s="223" t="s">
        <v>118</v>
      </c>
      <c r="C47" s="273">
        <v>0.5</v>
      </c>
      <c r="G47" s="136" t="s">
        <v>104</v>
      </c>
      <c r="H47" s="249">
        <f>H46/H43</f>
        <v>595.751953125</v>
      </c>
      <c r="I47" s="245" t="s">
        <v>106</v>
      </c>
      <c r="K47" s="295"/>
      <c r="L47" s="250" t="s">
        <v>121</v>
      </c>
      <c r="M47" s="298"/>
      <c r="N47" s="298"/>
      <c r="O47" s="356"/>
      <c r="P47" s="397" t="s">
        <v>211</v>
      </c>
      <c r="Q47" s="398">
        <f>Q39-Q42</f>
        <v>1904.5650521970106</v>
      </c>
    </row>
    <row r="48" spans="2:22" ht="14.5" x14ac:dyDescent="0.3">
      <c r="B48" s="223" t="s">
        <v>117</v>
      </c>
      <c r="C48" s="273">
        <v>0.35</v>
      </c>
      <c r="G48" s="136" t="s">
        <v>105</v>
      </c>
      <c r="H48" s="244">
        <f>H46*I48</f>
        <v>61005</v>
      </c>
      <c r="I48" s="251">
        <v>0.1</v>
      </c>
      <c r="K48" s="295"/>
      <c r="L48" s="250" t="s">
        <v>122</v>
      </c>
      <c r="M48" s="298"/>
      <c r="N48" s="298"/>
      <c r="O48" s="356"/>
    </row>
    <row r="49" spans="7:15" ht="14.5" x14ac:dyDescent="0.3">
      <c r="G49" s="136" t="s">
        <v>107</v>
      </c>
      <c r="H49" s="252">
        <f>H48*12</f>
        <v>732060</v>
      </c>
      <c r="I49" s="245" t="s">
        <v>99</v>
      </c>
      <c r="K49" s="295"/>
      <c r="L49" s="250" t="s">
        <v>123</v>
      </c>
      <c r="M49" s="298"/>
      <c r="N49" s="298"/>
      <c r="O49" s="356"/>
    </row>
    <row r="50" spans="7:15" ht="14.5" x14ac:dyDescent="0.3">
      <c r="K50" s="295"/>
      <c r="L50" s="250" t="s">
        <v>124</v>
      </c>
      <c r="M50" s="298"/>
      <c r="N50" s="298"/>
      <c r="O50" s="356"/>
    </row>
    <row r="51" spans="7:15" ht="15" thickBot="1" x14ac:dyDescent="0.4">
      <c r="G51" s="253" t="s">
        <v>108</v>
      </c>
      <c r="H51" s="254">
        <f>(H46+H49)/H43</f>
        <v>1310.654296875</v>
      </c>
      <c r="I51" s="255" t="s">
        <v>106</v>
      </c>
      <c r="K51" s="296"/>
      <c r="L51" s="256" t="s">
        <v>125</v>
      </c>
      <c r="M51" s="299"/>
      <c r="N51" s="299"/>
      <c r="O51" s="356"/>
    </row>
    <row r="52" spans="7:15" ht="13.5" thickBot="1" x14ac:dyDescent="0.35">
      <c r="K52" s="257">
        <v>0</v>
      </c>
      <c r="L52" s="258" t="s">
        <v>126</v>
      </c>
      <c r="M52" s="259">
        <v>5000</v>
      </c>
      <c r="N52" s="259">
        <f>M52*K52</f>
        <v>0</v>
      </c>
      <c r="O52" s="357"/>
    </row>
    <row r="53" spans="7:15" ht="13.5" thickBot="1" x14ac:dyDescent="0.35">
      <c r="K53" s="257">
        <v>0</v>
      </c>
      <c r="L53" s="258" t="s">
        <v>127</v>
      </c>
      <c r="M53" s="259">
        <v>9900</v>
      </c>
      <c r="N53" s="259">
        <f>M53*K53</f>
        <v>0</v>
      </c>
      <c r="O53" s="357"/>
    </row>
    <row r="54" spans="7:15" ht="13.5" thickBot="1" x14ac:dyDescent="0.35">
      <c r="O54" s="358"/>
    </row>
    <row r="55" spans="7:15" ht="13.5" thickBot="1" x14ac:dyDescent="0.35">
      <c r="M55" s="151" t="s">
        <v>0</v>
      </c>
      <c r="N55" s="259">
        <f>SUM(N46:N53)</f>
        <v>0</v>
      </c>
      <c r="O55" s="357"/>
    </row>
    <row r="56" spans="7:15" x14ac:dyDescent="0.3">
      <c r="O56" s="358"/>
    </row>
    <row r="57" spans="7:15" ht="13.5" thickBot="1" x14ac:dyDescent="0.35">
      <c r="O57" s="358"/>
    </row>
    <row r="58" spans="7:15" ht="14.5" x14ac:dyDescent="0.35">
      <c r="K58" s="282" t="s">
        <v>130</v>
      </c>
      <c r="L58" s="283"/>
      <c r="M58" s="283"/>
      <c r="N58" s="284"/>
      <c r="O58" s="359"/>
    </row>
    <row r="59" spans="7:15" ht="14.5" x14ac:dyDescent="0.35">
      <c r="K59" s="285" t="s">
        <v>131</v>
      </c>
      <c r="L59" s="286"/>
      <c r="M59" s="286"/>
      <c r="N59" s="287"/>
      <c r="O59" s="359"/>
    </row>
    <row r="60" spans="7:15" ht="15" thickBot="1" x14ac:dyDescent="0.4">
      <c r="K60" s="288" t="s">
        <v>187</v>
      </c>
      <c r="L60" s="289"/>
      <c r="M60" s="289"/>
      <c r="N60" s="290"/>
      <c r="O60" s="359"/>
    </row>
    <row r="61" spans="7:15" ht="13.5" thickBot="1" x14ac:dyDescent="0.35">
      <c r="K61" s="247" t="s">
        <v>52</v>
      </c>
      <c r="L61" s="247" t="s">
        <v>132</v>
      </c>
      <c r="M61" s="247" t="s">
        <v>133</v>
      </c>
      <c r="N61" s="247" t="s">
        <v>134</v>
      </c>
      <c r="O61" s="355"/>
    </row>
    <row r="62" spans="7:15" x14ac:dyDescent="0.3">
      <c r="K62" s="277">
        <v>0</v>
      </c>
      <c r="L62" s="261" t="s">
        <v>135</v>
      </c>
      <c r="M62" s="276" t="s">
        <v>136</v>
      </c>
      <c r="N62" s="279">
        <v>0</v>
      </c>
      <c r="O62" s="351"/>
    </row>
    <row r="63" spans="7:15" x14ac:dyDescent="0.3">
      <c r="K63" s="277">
        <v>0</v>
      </c>
      <c r="L63" s="264" t="s">
        <v>137</v>
      </c>
      <c r="M63" s="277" t="s">
        <v>138</v>
      </c>
      <c r="N63" s="280">
        <v>859.68</v>
      </c>
      <c r="O63" s="351"/>
    </row>
    <row r="64" spans="7:15" x14ac:dyDescent="0.3">
      <c r="K64" s="277">
        <v>0</v>
      </c>
      <c r="L64" s="264" t="s">
        <v>139</v>
      </c>
      <c r="M64" s="277" t="s">
        <v>140</v>
      </c>
      <c r="N64" s="280">
        <v>15703</v>
      </c>
      <c r="O64" s="351"/>
    </row>
    <row r="65" spans="11:15" x14ac:dyDescent="0.3">
      <c r="K65" s="277">
        <v>0</v>
      </c>
      <c r="L65" s="264" t="s">
        <v>141</v>
      </c>
      <c r="M65" s="277" t="s">
        <v>142</v>
      </c>
      <c r="N65" s="280">
        <v>0</v>
      </c>
      <c r="O65" s="351"/>
    </row>
    <row r="66" spans="11:15" x14ac:dyDescent="0.3">
      <c r="K66" s="277">
        <v>0</v>
      </c>
      <c r="L66" s="264" t="s">
        <v>143</v>
      </c>
      <c r="M66" s="277" t="s">
        <v>144</v>
      </c>
      <c r="N66" s="280">
        <v>520.48</v>
      </c>
      <c r="O66" s="351"/>
    </row>
    <row r="67" spans="11:15" x14ac:dyDescent="0.3">
      <c r="K67" s="277">
        <v>0</v>
      </c>
      <c r="L67" s="264" t="s">
        <v>145</v>
      </c>
      <c r="M67" s="277" t="s">
        <v>146</v>
      </c>
      <c r="N67" s="280">
        <v>3920</v>
      </c>
      <c r="O67" s="351"/>
    </row>
    <row r="68" spans="11:15" ht="13.5" thickBot="1" x14ac:dyDescent="0.35">
      <c r="K68" s="278">
        <v>0</v>
      </c>
      <c r="L68" s="267" t="s">
        <v>147</v>
      </c>
      <c r="M68" s="278" t="s">
        <v>148</v>
      </c>
      <c r="N68" s="281">
        <v>595</v>
      </c>
      <c r="O68" s="351"/>
    </row>
    <row r="69" spans="11:15" ht="13.5" thickBot="1" x14ac:dyDescent="0.35"/>
    <row r="70" spans="11:15" ht="15" thickBot="1" x14ac:dyDescent="0.35">
      <c r="M70" s="269" t="s">
        <v>0</v>
      </c>
      <c r="N70" s="259">
        <f>SUM(N62:N69)</f>
        <v>21598.16</v>
      </c>
      <c r="O70" s="352"/>
    </row>
    <row r="71" spans="11:15" ht="13.5" thickBot="1" x14ac:dyDescent="0.35"/>
    <row r="72" spans="11:15" ht="15" thickBot="1" x14ac:dyDescent="0.35">
      <c r="M72" s="269" t="s">
        <v>188</v>
      </c>
      <c r="N72" s="270">
        <v>1000000</v>
      </c>
      <c r="O72" s="353"/>
    </row>
    <row r="73" spans="11:15" ht="13.5" thickBot="1" x14ac:dyDescent="0.35"/>
    <row r="74" spans="11:15" ht="15" thickBot="1" x14ac:dyDescent="0.35">
      <c r="M74" s="271" t="s">
        <v>189</v>
      </c>
      <c r="N74" s="272">
        <f>N70/N72</f>
        <v>2.1598159999999998E-2</v>
      </c>
      <c r="O74" s="354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P29:Q29"/>
    <mergeCell ref="L31:M31"/>
    <mergeCell ref="T31:V31"/>
    <mergeCell ref="T32:U32"/>
    <mergeCell ref="L36:M36"/>
    <mergeCell ref="T38:U38"/>
    <mergeCell ref="B13:F13"/>
    <mergeCell ref="C14:D14"/>
    <mergeCell ref="P16:Q16"/>
    <mergeCell ref="P21:Q21"/>
    <mergeCell ref="B22:F22"/>
    <mergeCell ref="L25:M25"/>
    <mergeCell ref="L2:M2"/>
    <mergeCell ref="P2:Q2"/>
    <mergeCell ref="B5:F5"/>
    <mergeCell ref="C6:D6"/>
    <mergeCell ref="L9:M9"/>
    <mergeCell ref="T10:U10"/>
  </mergeCells>
  <conditionalFormatting sqref="H40">
    <cfRule type="containsText" dxfId="1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 xr:uid="{1D08F274-18F9-4339-AB44-2C7F9AD810FC}">
      <formula1>$D$31:$D$32</formula1>
    </dataValidation>
    <dataValidation type="list" allowBlank="1" showInputMessage="1" showErrorMessage="1" sqref="H39" xr:uid="{0A4E2687-6AE8-4409-8028-06F5AD091576}">
      <formula1>$H$29:$H$30</formula1>
    </dataValidation>
    <dataValidation type="list" allowBlank="1" showInputMessage="1" showErrorMessage="1" sqref="H37" xr:uid="{447429DA-F4E8-4529-B166-E42F8D281B5E}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33C5A-4E0E-41C4-A57B-23CCF8FD6188}">
  <dimension ref="A1:AC74"/>
  <sheetViews>
    <sheetView showGridLines="0" tabSelected="1" topLeftCell="A37" zoomScale="70" zoomScaleNormal="70" workbookViewId="0">
      <selection activeCell="F56" sqref="F56"/>
    </sheetView>
  </sheetViews>
  <sheetFormatPr baseColWidth="10" defaultColWidth="8.7265625" defaultRowHeight="13" x14ac:dyDescent="0.3"/>
  <cols>
    <col min="1" max="1" width="7.81640625" style="130" customWidth="1"/>
    <col min="2" max="2" width="26.1796875" style="130" bestFit="1" customWidth="1"/>
    <col min="3" max="3" width="9.81640625" style="130" bestFit="1" customWidth="1"/>
    <col min="4" max="4" width="10.1796875" style="130" customWidth="1"/>
    <col min="5" max="5" width="16" style="130" bestFit="1" customWidth="1"/>
    <col min="6" max="6" width="20.54296875" style="130" customWidth="1"/>
    <col min="7" max="7" width="17.6328125" style="130" bestFit="1" customWidth="1"/>
    <col min="8" max="8" width="12.453125" style="130" bestFit="1" customWidth="1"/>
    <col min="9" max="9" width="4.54296875" style="130" bestFit="1" customWidth="1"/>
    <col min="10" max="11" width="12" style="130" customWidth="1"/>
    <col min="12" max="12" width="43.54296875" style="130" customWidth="1"/>
    <col min="13" max="13" width="22.453125" style="130" bestFit="1" customWidth="1"/>
    <col min="14" max="14" width="11" style="130" bestFit="1" customWidth="1"/>
    <col min="15" max="15" width="11" style="130" customWidth="1"/>
    <col min="16" max="16" width="34.81640625" style="130" customWidth="1"/>
    <col min="17" max="17" width="25.26953125" style="130" customWidth="1"/>
    <col min="18" max="18" width="4.1796875" style="130" bestFit="1" customWidth="1"/>
    <col min="19" max="19" width="10.453125" style="130" customWidth="1"/>
    <col min="20" max="20" width="19.36328125" style="130" customWidth="1"/>
    <col min="21" max="21" width="17.7265625" style="130" bestFit="1" customWidth="1"/>
    <col min="22" max="22" width="13.6328125" style="130" bestFit="1" customWidth="1"/>
    <col min="23" max="23" width="12.81640625" style="130" customWidth="1"/>
    <col min="24" max="24" width="13.1796875" style="130" customWidth="1"/>
    <col min="25" max="26" width="8.7265625" style="130"/>
    <col min="27" max="27" width="9.7265625" style="130" customWidth="1"/>
    <col min="28" max="16384" width="8.7265625" style="130"/>
  </cols>
  <sheetData>
    <row r="1" spans="1:29" ht="13.5" thickBot="1" x14ac:dyDescent="0.3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" thickBot="1" x14ac:dyDescent="0.4">
      <c r="B2" s="132"/>
      <c r="C2" s="132"/>
      <c r="D2" s="133"/>
      <c r="E2" s="134"/>
      <c r="F2" s="135"/>
      <c r="L2" s="364" t="s">
        <v>7</v>
      </c>
      <c r="M2" s="365"/>
      <c r="P2" s="305" t="s">
        <v>8</v>
      </c>
      <c r="Q2" s="306"/>
      <c r="T2" s="130" t="s">
        <v>20</v>
      </c>
      <c r="U2" s="136">
        <v>800</v>
      </c>
      <c r="V2" s="136">
        <v>6</v>
      </c>
      <c r="W2" s="136">
        <v>6</v>
      </c>
      <c r="X2" s="136">
        <f>V2</f>
        <v>6</v>
      </c>
      <c r="Y2" s="136">
        <f>U2/36*V2*W2</f>
        <v>799.99999999999989</v>
      </c>
    </row>
    <row r="3" spans="1:29" x14ac:dyDescent="0.3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3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35">
      <c r="B5" s="291" t="s">
        <v>71</v>
      </c>
      <c r="C5" s="292"/>
      <c r="D5" s="292"/>
      <c r="E5" s="292"/>
      <c r="F5" s="293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6</v>
      </c>
      <c r="X5" s="150">
        <f>U5/36*V5*W5</f>
        <v>600</v>
      </c>
    </row>
    <row r="6" spans="1:29" ht="15.75" customHeight="1" thickBot="1" x14ac:dyDescent="0.35">
      <c r="B6" s="151" t="s">
        <v>3</v>
      </c>
      <c r="C6" s="307" t="s">
        <v>66</v>
      </c>
      <c r="D6" s="308"/>
      <c r="E6" s="151" t="s">
        <v>67</v>
      </c>
      <c r="F6" s="274" t="s">
        <v>4</v>
      </c>
      <c r="L6" s="153" t="s">
        <v>156</v>
      </c>
      <c r="M6" s="154">
        <f>V5</f>
        <v>6</v>
      </c>
      <c r="P6" s="145"/>
      <c r="Q6" s="146"/>
      <c r="W6" s="155"/>
    </row>
    <row r="7" spans="1:29" ht="13.5" thickBot="1" x14ac:dyDescent="0.35">
      <c r="A7" s="147"/>
      <c r="B7" s="156" t="s">
        <v>65</v>
      </c>
      <c r="C7" s="157">
        <v>20000</v>
      </c>
      <c r="D7" s="158" t="s">
        <v>68</v>
      </c>
      <c r="E7" s="159">
        <f>M42</f>
        <v>0.13826357075717172</v>
      </c>
      <c r="F7" s="160">
        <f>E7*C7</f>
        <v>2765.2714151434343</v>
      </c>
      <c r="L7" s="370" t="s">
        <v>216</v>
      </c>
      <c r="M7" s="371">
        <f>SUM(M3:M5)*M6</f>
        <v>3272.8940000000002</v>
      </c>
      <c r="P7" s="145"/>
      <c r="Q7" s="146"/>
    </row>
    <row r="8" spans="1:29" ht="13.5" thickBot="1" x14ac:dyDescent="0.35">
      <c r="B8" s="162" t="s">
        <v>64</v>
      </c>
      <c r="C8" s="162"/>
      <c r="D8" s="163"/>
      <c r="E8" s="164"/>
      <c r="F8" s="165"/>
      <c r="P8" s="145"/>
      <c r="Q8" s="146"/>
    </row>
    <row r="9" spans="1:29" ht="15" thickBot="1" x14ac:dyDescent="0.4">
      <c r="B9" s="166"/>
      <c r="C9" s="166"/>
      <c r="D9" s="166"/>
      <c r="E9" s="167" t="s">
        <v>2</v>
      </c>
      <c r="F9" s="168">
        <f>SUM(F7:F8)</f>
        <v>2765.2714151434343</v>
      </c>
      <c r="L9" s="366" t="s">
        <v>217</v>
      </c>
      <c r="M9" s="367"/>
      <c r="P9" s="145"/>
      <c r="Q9" s="146"/>
    </row>
    <row r="10" spans="1:29" ht="15" thickBot="1" x14ac:dyDescent="0.4">
      <c r="B10" s="166"/>
      <c r="C10" s="166"/>
      <c r="D10" s="166"/>
      <c r="E10" s="167" t="s">
        <v>1</v>
      </c>
      <c r="F10" s="169">
        <f>F9*G10</f>
        <v>331.83256981721212</v>
      </c>
      <c r="G10" s="350">
        <v>0.12</v>
      </c>
      <c r="L10" s="170" t="s">
        <v>190</v>
      </c>
      <c r="M10" s="372">
        <f>M7</f>
        <v>3272.8940000000002</v>
      </c>
      <c r="N10" s="171"/>
      <c r="O10" s="171"/>
      <c r="P10" s="145"/>
      <c r="Q10" s="146"/>
      <c r="R10" s="147"/>
      <c r="S10" s="147"/>
      <c r="T10" s="300" t="s">
        <v>19</v>
      </c>
      <c r="U10" s="301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35">
      <c r="B11" s="173"/>
      <c r="C11" s="166"/>
      <c r="D11" s="166"/>
      <c r="E11" s="174" t="s">
        <v>0</v>
      </c>
      <c r="F11" s="175">
        <f>SUM(F9:F10)</f>
        <v>3097.1039849606464</v>
      </c>
      <c r="L11" s="176" t="s">
        <v>191</v>
      </c>
      <c r="M11" s="384">
        <f>W5</f>
        <v>6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35">
      <c r="C12" s="137"/>
      <c r="D12" s="137"/>
      <c r="L12" s="179" t="s">
        <v>192</v>
      </c>
      <c r="M12" s="381">
        <f>+(M10/22)*M11</f>
        <v>892.60745454545463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35">
      <c r="B13" s="291" t="s">
        <v>61</v>
      </c>
      <c r="C13" s="292"/>
      <c r="D13" s="292"/>
      <c r="E13" s="292"/>
      <c r="F13" s="293"/>
      <c r="L13" s="182" t="s">
        <v>193</v>
      </c>
      <c r="M13" s="373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35">
      <c r="B14" s="151" t="s">
        <v>62</v>
      </c>
      <c r="C14" s="307" t="s">
        <v>70</v>
      </c>
      <c r="D14" s="308"/>
      <c r="E14" s="151" t="s">
        <v>67</v>
      </c>
      <c r="F14" s="274" t="s">
        <v>4</v>
      </c>
      <c r="L14" s="183" t="s">
        <v>191</v>
      </c>
      <c r="M14" s="374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35">
      <c r="B15" s="187" t="s">
        <v>61</v>
      </c>
      <c r="C15" s="188">
        <f>H51</f>
        <v>374.47265625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1.2</v>
      </c>
      <c r="F15" s="168">
        <f>C15*E15</f>
        <v>449.3671875</v>
      </c>
      <c r="L15" s="191" t="s">
        <v>192</v>
      </c>
      <c r="M15" s="375">
        <f>+(M13/22)*M14</f>
        <v>0</v>
      </c>
      <c r="N15" s="137"/>
      <c r="O15" s="137"/>
      <c r="T15" s="180"/>
      <c r="U15" s="181">
        <v>0</v>
      </c>
    </row>
    <row r="16" spans="1:29" ht="15" thickBot="1" x14ac:dyDescent="0.4">
      <c r="B16" s="162"/>
      <c r="C16" s="162"/>
      <c r="D16" s="163"/>
      <c r="E16" s="164"/>
      <c r="F16" s="192"/>
      <c r="L16" s="193" t="s">
        <v>194</v>
      </c>
      <c r="M16" s="376">
        <v>0</v>
      </c>
      <c r="P16" s="364" t="s">
        <v>221</v>
      </c>
      <c r="Q16" s="365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3">
      <c r="B17" s="166"/>
      <c r="C17" s="166"/>
      <c r="D17" s="166"/>
      <c r="E17" s="167" t="s">
        <v>2</v>
      </c>
      <c r="F17" s="168">
        <f>SUM(F15:F16)</f>
        <v>449.3671875</v>
      </c>
      <c r="L17" s="195" t="s">
        <v>191</v>
      </c>
      <c r="M17" s="377">
        <v>0</v>
      </c>
      <c r="N17" s="147"/>
      <c r="O17" s="147"/>
      <c r="P17" s="328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35">
      <c r="B18" s="166"/>
      <c r="C18" s="166"/>
      <c r="D18" s="166"/>
      <c r="E18" s="167" t="s">
        <v>1</v>
      </c>
      <c r="F18" s="169">
        <f>F17*G18</f>
        <v>53.924062499999998</v>
      </c>
      <c r="G18" s="350">
        <v>0.12</v>
      </c>
      <c r="L18" s="200" t="s">
        <v>192</v>
      </c>
      <c r="M18" s="382">
        <f>+(M16/22)*M17</f>
        <v>0</v>
      </c>
      <c r="P18" s="370" t="s">
        <v>13</v>
      </c>
      <c r="Q18" s="387">
        <f>((M34)+((M34)*Q27))*Q17</f>
        <v>304.9931707878788</v>
      </c>
      <c r="T18" s="203"/>
      <c r="U18" s="204">
        <v>0</v>
      </c>
    </row>
    <row r="19" spans="2:29" ht="13.5" thickBot="1" x14ac:dyDescent="0.35">
      <c r="B19" s="173"/>
      <c r="C19" s="166"/>
      <c r="D19" s="166"/>
      <c r="E19" s="174" t="s">
        <v>0</v>
      </c>
      <c r="F19" s="175">
        <f>SUM(F17:F18)</f>
        <v>503.29124999999999</v>
      </c>
      <c r="L19" s="205" t="s">
        <v>195</v>
      </c>
      <c r="M19" s="378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35">
      <c r="B20" s="206"/>
      <c r="C20" s="206"/>
      <c r="D20" s="206"/>
      <c r="E20" s="207"/>
      <c r="F20" s="208"/>
      <c r="L20" s="209" t="s">
        <v>191</v>
      </c>
      <c r="M20" s="379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" thickBot="1" x14ac:dyDescent="0.4">
      <c r="B21" s="206"/>
      <c r="C21" s="206"/>
      <c r="D21" s="206"/>
      <c r="E21" s="207"/>
      <c r="F21" s="208"/>
      <c r="L21" s="210" t="s">
        <v>192</v>
      </c>
      <c r="M21" s="383">
        <f>+(M19/22)*M20</f>
        <v>0</v>
      </c>
      <c r="P21" s="300" t="s">
        <v>11</v>
      </c>
      <c r="Q21" s="301"/>
    </row>
    <row r="22" spans="2:29" ht="13.5" thickBot="1" x14ac:dyDescent="0.35">
      <c r="B22" s="304"/>
      <c r="C22" s="304"/>
      <c r="D22" s="304"/>
      <c r="E22" s="304"/>
      <c r="F22" s="304"/>
      <c r="L22" s="185" t="s">
        <v>0</v>
      </c>
      <c r="M22" s="380">
        <f>+M18+M21+M15+M12</f>
        <v>892.60745454545463</v>
      </c>
      <c r="P22" s="196" t="s">
        <v>12</v>
      </c>
      <c r="Q22" s="197">
        <v>0.13</v>
      </c>
    </row>
    <row r="23" spans="2:29" ht="15" thickBot="1" x14ac:dyDescent="0.4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319.83617176622226</v>
      </c>
    </row>
    <row r="24" spans="2:29" ht="13.5" thickBot="1" x14ac:dyDescent="0.35"/>
    <row r="25" spans="2:29" ht="15" thickBot="1" x14ac:dyDescent="0.4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4" t="s">
        <v>214</v>
      </c>
      <c r="M25" s="365"/>
      <c r="P25" s="217" t="s">
        <v>5</v>
      </c>
      <c r="Q25" s="218">
        <f>C7</f>
        <v>20000</v>
      </c>
      <c r="T25" s="185" t="s">
        <v>0</v>
      </c>
      <c r="U25" s="219">
        <f>SUM(U11:U18)</f>
        <v>0</v>
      </c>
    </row>
    <row r="26" spans="2:29" ht="13.5" thickBot="1" x14ac:dyDescent="0.3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3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431.96319999999997</v>
      </c>
      <c r="P27" s="217" t="s">
        <v>15</v>
      </c>
      <c r="Q27" s="227">
        <v>0.4</v>
      </c>
      <c r="T27" s="185"/>
    </row>
    <row r="28" spans="2:29" ht="13.5" thickBot="1" x14ac:dyDescent="0.3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3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69">
        <f>SUM(M26:M28)</f>
        <v>431.96319999999997</v>
      </c>
      <c r="P29" s="390" t="s">
        <v>206</v>
      </c>
      <c r="Q29" s="391"/>
    </row>
    <row r="30" spans="2:29" ht="13.5" thickBot="1" x14ac:dyDescent="0.3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88" t="s">
        <v>218</v>
      </c>
      <c r="Q30" s="389">
        <f>M22</f>
        <v>892.60745454545463</v>
      </c>
    </row>
    <row r="31" spans="2:29" ht="15" thickBot="1" x14ac:dyDescent="0.4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23" t="s">
        <v>213</v>
      </c>
      <c r="M31" s="301"/>
      <c r="P31" s="343" t="s">
        <v>219</v>
      </c>
      <c r="Q31" s="344">
        <f>M29</f>
        <v>431.96319999999997</v>
      </c>
      <c r="T31" s="323" t="s">
        <v>7</v>
      </c>
      <c r="U31" s="324"/>
      <c r="V31" s="325"/>
    </row>
    <row r="32" spans="2:29" ht="13.5" thickBot="1" x14ac:dyDescent="0.3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68" t="s">
        <v>215</v>
      </c>
      <c r="M32" s="229">
        <f>SUM(M29+M22)</f>
        <v>1324.5706545454545</v>
      </c>
      <c r="P32" s="343" t="s">
        <v>8</v>
      </c>
      <c r="Q32" s="344">
        <f>M33</f>
        <v>127.77777777777777</v>
      </c>
      <c r="T32" s="326" t="s">
        <v>6</v>
      </c>
      <c r="U32" s="327"/>
      <c r="V32" s="139">
        <v>386</v>
      </c>
    </row>
    <row r="33" spans="2:22" ht="13.5" thickBot="1" x14ac:dyDescent="0.3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343" t="s">
        <v>223</v>
      </c>
      <c r="Q33" s="344">
        <f>Q18</f>
        <v>304.9931707878788</v>
      </c>
      <c r="T33" s="328" t="s">
        <v>198</v>
      </c>
      <c r="U33" s="329">
        <v>12</v>
      </c>
      <c r="V33" s="330">
        <f>$V$32/U33</f>
        <v>32.166666666666664</v>
      </c>
    </row>
    <row r="34" spans="2:22" ht="15" thickBot="1" x14ac:dyDescent="0.4">
      <c r="B34" s="232"/>
      <c r="L34" s="185" t="s">
        <v>0</v>
      </c>
      <c r="M34" s="386">
        <f>SUM(M32:M33)</f>
        <v>1452.3484323232324</v>
      </c>
      <c r="N34" s="385"/>
      <c r="T34" s="328" t="s">
        <v>199</v>
      </c>
      <c r="U34" s="329">
        <v>12</v>
      </c>
      <c r="V34" s="330">
        <f>(($V$32*U34)/U34)/U34</f>
        <v>32.166666666666664</v>
      </c>
    </row>
    <row r="35" spans="2:22" ht="13.5" thickBot="1" x14ac:dyDescent="0.35">
      <c r="P35" s="345" t="s">
        <v>207</v>
      </c>
      <c r="Q35" s="346">
        <f>SUM(Q30:Q34)</f>
        <v>1757.3416031111112</v>
      </c>
      <c r="T35" s="328" t="s">
        <v>200</v>
      </c>
      <c r="U35" s="329">
        <v>24</v>
      </c>
      <c r="V35" s="330">
        <f>(($V$32*U34)/U35)/12</f>
        <v>16.083333333333332</v>
      </c>
    </row>
    <row r="36" spans="2:22" ht="15" thickBot="1" x14ac:dyDescent="0.4">
      <c r="G36" s="233" t="s">
        <v>92</v>
      </c>
      <c r="H36" s="234">
        <f>C7</f>
        <v>20000</v>
      </c>
      <c r="L36" s="302" t="s">
        <v>196</v>
      </c>
      <c r="M36" s="303"/>
      <c r="T36" s="331" t="s">
        <v>201</v>
      </c>
      <c r="U36" s="332">
        <v>12</v>
      </c>
      <c r="V36" s="333">
        <f>(($V$32*U36)/U36)/U36</f>
        <v>32.166666666666664</v>
      </c>
    </row>
    <row r="37" spans="2:22" ht="13.5" thickBot="1" x14ac:dyDescent="0.35">
      <c r="G37" s="235" t="s">
        <v>89</v>
      </c>
      <c r="H37" s="236" t="s">
        <v>88</v>
      </c>
      <c r="L37" s="363" t="s">
        <v>220</v>
      </c>
      <c r="M37" s="229">
        <f>M34+Q18</f>
        <v>1757.3416031111112</v>
      </c>
      <c r="N37" s="237"/>
      <c r="O37" s="237"/>
      <c r="P37" s="347" t="s">
        <v>208</v>
      </c>
      <c r="Q37" s="348">
        <f>F7</f>
        <v>2765.2714151434343</v>
      </c>
      <c r="T37" s="334" t="s">
        <v>202</v>
      </c>
      <c r="U37" s="335">
        <v>0.1215</v>
      </c>
      <c r="V37" s="336">
        <f>(V32*U37)</f>
        <v>46.899000000000001</v>
      </c>
    </row>
    <row r="38" spans="2:22" ht="13.5" thickBot="1" x14ac:dyDescent="0.35">
      <c r="G38" s="235" t="s">
        <v>74</v>
      </c>
      <c r="H38" s="236" t="s">
        <v>77</v>
      </c>
      <c r="L38" s="230" t="s">
        <v>14</v>
      </c>
      <c r="M38" s="238">
        <f>M37*Q27</f>
        <v>702.93664124444456</v>
      </c>
      <c r="Q38" s="142"/>
      <c r="T38" s="337" t="s">
        <v>203</v>
      </c>
      <c r="U38" s="338"/>
      <c r="V38" s="149">
        <f>SUM(V33:V37)</f>
        <v>159.48233333333332</v>
      </c>
    </row>
    <row r="39" spans="2:22" ht="13.5" thickBot="1" x14ac:dyDescent="0.35">
      <c r="B39" s="239" t="s">
        <v>115</v>
      </c>
      <c r="C39" s="239" t="s">
        <v>119</v>
      </c>
      <c r="G39" s="235" t="s">
        <v>73</v>
      </c>
      <c r="H39" s="236" t="s">
        <v>82</v>
      </c>
      <c r="P39" s="394" t="s">
        <v>209</v>
      </c>
      <c r="Q39" s="395">
        <f>Q37-Q35</f>
        <v>1007.9298120323231</v>
      </c>
      <c r="T39" s="326" t="s">
        <v>204</v>
      </c>
      <c r="U39" s="327"/>
      <c r="V39" s="339">
        <f>V32+V38</f>
        <v>545.48233333333337</v>
      </c>
    </row>
    <row r="40" spans="2:22" ht="15" thickBot="1" x14ac:dyDescent="0.4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92"/>
      <c r="Q40" s="393"/>
      <c r="T40" s="340" t="s">
        <v>205</v>
      </c>
      <c r="U40" s="341">
        <v>1</v>
      </c>
      <c r="V40" s="342">
        <f>V39*U40</f>
        <v>545.48233333333337</v>
      </c>
    </row>
    <row r="41" spans="2:22" ht="13.5" thickBot="1" x14ac:dyDescent="0.35">
      <c r="B41" s="223" t="s">
        <v>110</v>
      </c>
      <c r="C41" s="273">
        <v>1.6</v>
      </c>
      <c r="L41" s="242" t="s">
        <v>16</v>
      </c>
      <c r="M41" s="243">
        <f>(M37+Q18)/Q25</f>
        <v>0.1031167386949495</v>
      </c>
      <c r="P41" s="396" t="s">
        <v>224</v>
      </c>
      <c r="Q41" s="396"/>
    </row>
    <row r="42" spans="2:22" ht="13.5" thickBot="1" x14ac:dyDescent="0.35">
      <c r="B42" s="223" t="s">
        <v>111</v>
      </c>
      <c r="C42" s="273">
        <v>1.4</v>
      </c>
      <c r="G42" s="136" t="s">
        <v>100</v>
      </c>
      <c r="H42" s="244">
        <f>H36*H40</f>
        <v>166000</v>
      </c>
      <c r="I42" s="245" t="s">
        <v>99</v>
      </c>
      <c r="L42" s="242" t="s">
        <v>17</v>
      </c>
      <c r="M42" s="243">
        <f>(M37+M38+Q18)/Q25</f>
        <v>0.13826357075717172</v>
      </c>
      <c r="P42" s="343" t="s">
        <v>225</v>
      </c>
      <c r="Q42" s="349">
        <f>Q23</f>
        <v>319.83617176622226</v>
      </c>
    </row>
    <row r="43" spans="2:22" ht="13.5" thickBot="1" x14ac:dyDescent="0.3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3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291" t="s">
        <v>128</v>
      </c>
      <c r="L44" s="292"/>
      <c r="M44" s="292"/>
      <c r="N44" s="293"/>
      <c r="O44" s="275"/>
      <c r="P44" s="343" t="s">
        <v>210</v>
      </c>
      <c r="Q44" s="360">
        <f>(Q42*R44)/Q22</f>
        <v>73.808347330666678</v>
      </c>
      <c r="R44" s="362">
        <v>0.03</v>
      </c>
    </row>
    <row r="45" spans="2:22" ht="13.5" thickBot="1" x14ac:dyDescent="0.3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55"/>
      <c r="P45" s="343" t="s">
        <v>212</v>
      </c>
      <c r="Q45" s="361">
        <f>(Q42*R45)/Q22</f>
        <v>246.0278244355556</v>
      </c>
      <c r="R45" s="362">
        <v>0.1</v>
      </c>
    </row>
    <row r="46" spans="2:22" ht="14.5" x14ac:dyDescent="0.3">
      <c r="B46" s="223" t="s">
        <v>116</v>
      </c>
      <c r="C46" s="273">
        <v>0.6</v>
      </c>
      <c r="G46" s="136" t="s">
        <v>103</v>
      </c>
      <c r="H46" s="244">
        <f>(H42*H44)+H42</f>
        <v>174300</v>
      </c>
      <c r="I46" s="245" t="s">
        <v>99</v>
      </c>
      <c r="K46" s="294">
        <v>0</v>
      </c>
      <c r="L46" s="248" t="s">
        <v>120</v>
      </c>
      <c r="M46" s="297">
        <v>22000</v>
      </c>
      <c r="N46" s="297">
        <f>M46*K46</f>
        <v>0</v>
      </c>
      <c r="O46" s="356"/>
    </row>
    <row r="47" spans="2:22" ht="15.5" x14ac:dyDescent="0.35">
      <c r="B47" s="223" t="s">
        <v>118</v>
      </c>
      <c r="C47" s="273">
        <v>0.5</v>
      </c>
      <c r="G47" s="136" t="s">
        <v>104</v>
      </c>
      <c r="H47" s="249">
        <f>H46/H43</f>
        <v>170.21484375</v>
      </c>
      <c r="I47" s="245" t="s">
        <v>106</v>
      </c>
      <c r="K47" s="295"/>
      <c r="L47" s="250" t="s">
        <v>121</v>
      </c>
      <c r="M47" s="298"/>
      <c r="N47" s="298"/>
      <c r="O47" s="356"/>
      <c r="P47" s="397" t="s">
        <v>211</v>
      </c>
      <c r="Q47" s="398">
        <f>Q39-Q42</f>
        <v>688.09364026610081</v>
      </c>
    </row>
    <row r="48" spans="2:22" ht="14.5" x14ac:dyDescent="0.3">
      <c r="B48" s="223" t="s">
        <v>117</v>
      </c>
      <c r="C48" s="273">
        <v>0.35</v>
      </c>
      <c r="G48" s="136" t="s">
        <v>105</v>
      </c>
      <c r="H48" s="244">
        <f>H46*I48</f>
        <v>17430</v>
      </c>
      <c r="I48" s="251">
        <v>0.1</v>
      </c>
      <c r="K48" s="295"/>
      <c r="L48" s="250" t="s">
        <v>122</v>
      </c>
      <c r="M48" s="298"/>
      <c r="N48" s="298"/>
      <c r="O48" s="356"/>
    </row>
    <row r="49" spans="7:15" ht="14.5" x14ac:dyDescent="0.3">
      <c r="G49" s="136" t="s">
        <v>107</v>
      </c>
      <c r="H49" s="252">
        <f>H48*12</f>
        <v>209160</v>
      </c>
      <c r="I49" s="245" t="s">
        <v>99</v>
      </c>
      <c r="K49" s="295"/>
      <c r="L49" s="250" t="s">
        <v>123</v>
      </c>
      <c r="M49" s="298"/>
      <c r="N49" s="298"/>
      <c r="O49" s="356"/>
    </row>
    <row r="50" spans="7:15" ht="14.5" x14ac:dyDescent="0.3">
      <c r="K50" s="295"/>
      <c r="L50" s="250" t="s">
        <v>124</v>
      </c>
      <c r="M50" s="298"/>
      <c r="N50" s="298"/>
      <c r="O50" s="356"/>
    </row>
    <row r="51" spans="7:15" ht="15" thickBot="1" x14ac:dyDescent="0.4">
      <c r="G51" s="253" t="s">
        <v>108</v>
      </c>
      <c r="H51" s="254">
        <f>(H46+H49)/H43</f>
        <v>374.47265625</v>
      </c>
      <c r="I51" s="255" t="s">
        <v>106</v>
      </c>
      <c r="K51" s="296"/>
      <c r="L51" s="256" t="s">
        <v>125</v>
      </c>
      <c r="M51" s="299"/>
      <c r="N51" s="299"/>
      <c r="O51" s="356"/>
    </row>
    <row r="52" spans="7:15" ht="13.5" thickBot="1" x14ac:dyDescent="0.35">
      <c r="K52" s="257">
        <v>0</v>
      </c>
      <c r="L52" s="258" t="s">
        <v>126</v>
      </c>
      <c r="M52" s="259">
        <v>5000</v>
      </c>
      <c r="N52" s="259">
        <f>M52*K52</f>
        <v>0</v>
      </c>
      <c r="O52" s="357"/>
    </row>
    <row r="53" spans="7:15" ht="13.5" thickBot="1" x14ac:dyDescent="0.35">
      <c r="K53" s="257">
        <v>0</v>
      </c>
      <c r="L53" s="258" t="s">
        <v>127</v>
      </c>
      <c r="M53" s="259">
        <v>9900</v>
      </c>
      <c r="N53" s="259">
        <f>M53*K53</f>
        <v>0</v>
      </c>
      <c r="O53" s="357"/>
    </row>
    <row r="54" spans="7:15" ht="13.5" thickBot="1" x14ac:dyDescent="0.35">
      <c r="O54" s="358"/>
    </row>
    <row r="55" spans="7:15" ht="13.5" thickBot="1" x14ac:dyDescent="0.35">
      <c r="M55" s="151" t="s">
        <v>0</v>
      </c>
      <c r="N55" s="259">
        <f>SUM(N46:N53)</f>
        <v>0</v>
      </c>
      <c r="O55" s="357"/>
    </row>
    <row r="56" spans="7:15" x14ac:dyDescent="0.3">
      <c r="O56" s="358"/>
    </row>
    <row r="57" spans="7:15" ht="13.5" thickBot="1" x14ac:dyDescent="0.35">
      <c r="O57" s="358"/>
    </row>
    <row r="58" spans="7:15" ht="14.5" x14ac:dyDescent="0.35">
      <c r="K58" s="282" t="s">
        <v>130</v>
      </c>
      <c r="L58" s="283"/>
      <c r="M58" s="283"/>
      <c r="N58" s="284"/>
      <c r="O58" s="359"/>
    </row>
    <row r="59" spans="7:15" ht="14.5" x14ac:dyDescent="0.35">
      <c r="K59" s="285" t="s">
        <v>131</v>
      </c>
      <c r="L59" s="286"/>
      <c r="M59" s="286"/>
      <c r="N59" s="287"/>
      <c r="O59" s="359"/>
    </row>
    <row r="60" spans="7:15" ht="15" thickBot="1" x14ac:dyDescent="0.4">
      <c r="K60" s="288" t="s">
        <v>187</v>
      </c>
      <c r="L60" s="289"/>
      <c r="M60" s="289"/>
      <c r="N60" s="290"/>
      <c r="O60" s="359"/>
    </row>
    <row r="61" spans="7:15" ht="13.5" thickBot="1" x14ac:dyDescent="0.35">
      <c r="K61" s="247" t="s">
        <v>52</v>
      </c>
      <c r="L61" s="247" t="s">
        <v>132</v>
      </c>
      <c r="M61" s="247" t="s">
        <v>133</v>
      </c>
      <c r="N61" s="247" t="s">
        <v>134</v>
      </c>
      <c r="O61" s="355"/>
    </row>
    <row r="62" spans="7:15" x14ac:dyDescent="0.3">
      <c r="K62" s="277">
        <v>0</v>
      </c>
      <c r="L62" s="261" t="s">
        <v>135</v>
      </c>
      <c r="M62" s="276" t="s">
        <v>136</v>
      </c>
      <c r="N62" s="279">
        <v>0</v>
      </c>
      <c r="O62" s="351"/>
    </row>
    <row r="63" spans="7:15" x14ac:dyDescent="0.3">
      <c r="K63" s="277">
        <v>0</v>
      </c>
      <c r="L63" s="264" t="s">
        <v>137</v>
      </c>
      <c r="M63" s="277" t="s">
        <v>138</v>
      </c>
      <c r="N63" s="280">
        <v>859.68</v>
      </c>
      <c r="O63" s="351"/>
    </row>
    <row r="64" spans="7:15" x14ac:dyDescent="0.3">
      <c r="K64" s="277">
        <v>0</v>
      </c>
      <c r="L64" s="264" t="s">
        <v>139</v>
      </c>
      <c r="M64" s="277" t="s">
        <v>140</v>
      </c>
      <c r="N64" s="280">
        <v>15703</v>
      </c>
      <c r="O64" s="351"/>
    </row>
    <row r="65" spans="11:15" x14ac:dyDescent="0.3">
      <c r="K65" s="277">
        <v>0</v>
      </c>
      <c r="L65" s="264" t="s">
        <v>141</v>
      </c>
      <c r="M65" s="277" t="s">
        <v>142</v>
      </c>
      <c r="N65" s="280">
        <v>0</v>
      </c>
      <c r="O65" s="351"/>
    </row>
    <row r="66" spans="11:15" x14ac:dyDescent="0.3">
      <c r="K66" s="277">
        <v>0</v>
      </c>
      <c r="L66" s="264" t="s">
        <v>143</v>
      </c>
      <c r="M66" s="277" t="s">
        <v>144</v>
      </c>
      <c r="N66" s="280">
        <v>520.48</v>
      </c>
      <c r="O66" s="351"/>
    </row>
    <row r="67" spans="11:15" x14ac:dyDescent="0.3">
      <c r="K67" s="277">
        <v>0</v>
      </c>
      <c r="L67" s="264" t="s">
        <v>145</v>
      </c>
      <c r="M67" s="277" t="s">
        <v>146</v>
      </c>
      <c r="N67" s="280">
        <v>3920</v>
      </c>
      <c r="O67" s="351"/>
    </row>
    <row r="68" spans="11:15" ht="13.5" thickBot="1" x14ac:dyDescent="0.35">
      <c r="K68" s="278">
        <v>0</v>
      </c>
      <c r="L68" s="267" t="s">
        <v>147</v>
      </c>
      <c r="M68" s="278" t="s">
        <v>148</v>
      </c>
      <c r="N68" s="281">
        <v>595</v>
      </c>
      <c r="O68" s="351"/>
    </row>
    <row r="69" spans="11:15" ht="13.5" thickBot="1" x14ac:dyDescent="0.35"/>
    <row r="70" spans="11:15" ht="15" thickBot="1" x14ac:dyDescent="0.35">
      <c r="M70" s="269" t="s">
        <v>0</v>
      </c>
      <c r="N70" s="259">
        <f>SUM(N62:N69)</f>
        <v>21598.16</v>
      </c>
      <c r="O70" s="352"/>
    </row>
    <row r="71" spans="11:15" ht="13.5" thickBot="1" x14ac:dyDescent="0.35"/>
    <row r="72" spans="11:15" ht="15" thickBot="1" x14ac:dyDescent="0.35">
      <c r="M72" s="269" t="s">
        <v>188</v>
      </c>
      <c r="N72" s="270">
        <v>1000000</v>
      </c>
      <c r="O72" s="353"/>
    </row>
    <row r="73" spans="11:15" ht="13.5" thickBot="1" x14ac:dyDescent="0.35"/>
    <row r="74" spans="11:15" ht="15" thickBot="1" x14ac:dyDescent="0.35">
      <c r="M74" s="271" t="s">
        <v>189</v>
      </c>
      <c r="N74" s="272">
        <f>N70/N72</f>
        <v>2.1598159999999998E-2</v>
      </c>
      <c r="O74" s="354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P29:Q29"/>
    <mergeCell ref="L31:M31"/>
    <mergeCell ref="T31:V31"/>
    <mergeCell ref="T32:U32"/>
    <mergeCell ref="L36:M36"/>
    <mergeCell ref="T38:U38"/>
    <mergeCell ref="B13:F13"/>
    <mergeCell ref="C14:D14"/>
    <mergeCell ref="P16:Q16"/>
    <mergeCell ref="P21:Q21"/>
    <mergeCell ref="B22:F22"/>
    <mergeCell ref="L25:M25"/>
    <mergeCell ref="L2:M2"/>
    <mergeCell ref="P2:Q2"/>
    <mergeCell ref="B5:F5"/>
    <mergeCell ref="C6:D6"/>
    <mergeCell ref="L9:M9"/>
    <mergeCell ref="T10:U10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68292306-E4A4-43C8-AE59-694ADDAD3994}">
      <formula1>$C$26:$C$33</formula1>
    </dataValidation>
    <dataValidation type="list" allowBlank="1" showInputMessage="1" showErrorMessage="1" sqref="H39" xr:uid="{53F382C2-91EF-4A1F-A0B4-74C886DECD4C}">
      <formula1>$H$29:$H$30</formula1>
    </dataValidation>
    <dataValidation type="list" allowBlank="1" showInputMessage="1" showErrorMessage="1" sqref="H38" xr:uid="{B8EEAB5F-0EF4-49C2-91F4-7067851FEFDE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309" t="s">
        <v>40</v>
      </c>
      <c r="D2" s="310"/>
      <c r="E2" s="310"/>
      <c r="F2" s="310"/>
      <c r="G2" s="311"/>
    </row>
    <row r="3" spans="3:18" ht="44" thickBot="1" x14ac:dyDescent="0.4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12" t="s">
        <v>40</v>
      </c>
      <c r="N3" s="313"/>
      <c r="O3" s="313"/>
      <c r="P3" s="313"/>
      <c r="Q3" s="314"/>
    </row>
    <row r="4" spans="3:18" ht="29.5" thickBot="1" x14ac:dyDescent="0.4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" thickBot="1" x14ac:dyDescent="0.4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" thickBot="1" x14ac:dyDescent="0.4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" thickBot="1" x14ac:dyDescent="0.4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35">
      <c r="G10" s="7">
        <f>G7+83.22</f>
        <v>115.67454545454548</v>
      </c>
    </row>
    <row r="13" spans="3:18" ht="15" thickBot="1" x14ac:dyDescent="0.4">
      <c r="H13" s="36" t="s">
        <v>50</v>
      </c>
      <c r="N13" s="36" t="s">
        <v>38</v>
      </c>
    </row>
    <row r="14" spans="3:18" ht="15" thickBot="1" x14ac:dyDescent="0.4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" thickBot="1" x14ac:dyDescent="0.4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" thickBot="1" x14ac:dyDescent="0.4"/>
    <row r="17" spans="2:17" x14ac:dyDescent="0.3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3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" thickBot="1" x14ac:dyDescent="0.4">
      <c r="N19" s="50"/>
      <c r="O19" s="52"/>
      <c r="P19" s="52"/>
      <c r="Q19" s="53"/>
    </row>
    <row r="20" spans="2:17" ht="15" thickBot="1" x14ac:dyDescent="0.4">
      <c r="C20" s="315" t="s">
        <v>39</v>
      </c>
      <c r="D20" s="316"/>
      <c r="E20" s="316"/>
      <c r="F20" s="317"/>
      <c r="H20" s="54" t="s">
        <v>57</v>
      </c>
      <c r="I20" s="55">
        <v>3.79</v>
      </c>
    </row>
    <row r="21" spans="2:17" ht="15" thickBot="1" x14ac:dyDescent="0.4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" thickBot="1" x14ac:dyDescent="0.4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5.5" thickTop="1" thickBot="1" x14ac:dyDescent="0.4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5.5" thickTop="1" thickBot="1" x14ac:dyDescent="0.4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5.5" thickTop="1" thickBot="1" x14ac:dyDescent="0.4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5.5" thickTop="1" thickBot="1" x14ac:dyDescent="0.4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5.5" thickTop="1" thickBot="1" x14ac:dyDescent="0.4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35">
      <c r="C28" s="1"/>
      <c r="D28" s="1"/>
      <c r="E28" s="4" t="s">
        <v>2</v>
      </c>
      <c r="F28" s="3">
        <f>SUM(F22:F27)</f>
        <v>173.90633333333332</v>
      </c>
    </row>
    <row r="29" spans="2:17" ht="15" thickBot="1" x14ac:dyDescent="0.4">
      <c r="C29" s="1"/>
      <c r="D29" s="1"/>
      <c r="E29" s="4" t="s">
        <v>1</v>
      </c>
      <c r="F29" s="3">
        <f>F28*12%</f>
        <v>20.868759999999998</v>
      </c>
    </row>
    <row r="30" spans="2:17" ht="15" thickBot="1" x14ac:dyDescent="0.4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830C0-864F-43B7-AB7C-109A862C0B77}">
  <dimension ref="A3:KG29"/>
  <sheetViews>
    <sheetView zoomScale="70" zoomScaleNormal="70" workbookViewId="0">
      <selection activeCell="I15" sqref="I15"/>
    </sheetView>
  </sheetViews>
  <sheetFormatPr baseColWidth="10" defaultColWidth="11.453125" defaultRowHeight="14.5" x14ac:dyDescent="0.35"/>
  <cols>
    <col min="1" max="1" width="15.81640625" style="82" customWidth="1"/>
    <col min="2" max="2" width="3.54296875" style="82" customWidth="1"/>
    <col min="3" max="3" width="32.81640625" style="82" customWidth="1"/>
    <col min="4" max="4" width="17.81640625" style="82" bestFit="1" customWidth="1"/>
    <col min="5" max="5" width="17.7265625" style="82" customWidth="1"/>
    <col min="6" max="7" width="20.54296875" style="82" customWidth="1"/>
    <col min="8" max="8" width="5.26953125" style="82" customWidth="1"/>
    <col min="9" max="9" width="16.1796875" style="82" customWidth="1"/>
    <col min="10" max="11" width="2.81640625" style="82" customWidth="1"/>
    <col min="12" max="293" width="2.54296875" style="82" customWidth="1"/>
    <col min="294" max="16384" width="11.453125" style="82"/>
  </cols>
  <sheetData>
    <row r="3" spans="1:293" ht="18.5" x14ac:dyDescent="0.45">
      <c r="C3" s="320" t="s">
        <v>150</v>
      </c>
      <c r="D3" s="320"/>
      <c r="E3" s="320"/>
      <c r="F3" s="320"/>
      <c r="G3" s="320"/>
      <c r="H3" s="83"/>
      <c r="I3" s="83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  <c r="AS3" s="322"/>
      <c r="AT3" s="322"/>
      <c r="AU3" s="322"/>
      <c r="AV3" s="322"/>
      <c r="AW3" s="322"/>
      <c r="AX3" s="322"/>
      <c r="AY3" s="322"/>
      <c r="AZ3" s="322"/>
      <c r="BA3" s="322"/>
      <c r="BB3" s="322"/>
      <c r="BC3" s="322"/>
      <c r="BD3" s="322"/>
      <c r="BE3" s="322"/>
      <c r="BF3" s="322"/>
      <c r="BG3" s="322"/>
      <c r="BH3" s="322"/>
      <c r="BI3" s="322"/>
      <c r="BJ3" s="322"/>
      <c r="BK3" s="322"/>
      <c r="BL3" s="322"/>
      <c r="BM3" s="322"/>
      <c r="BN3" s="322"/>
      <c r="BO3" s="322"/>
      <c r="BP3" s="322"/>
      <c r="BQ3" s="322"/>
      <c r="BR3" s="322"/>
      <c r="BS3" s="322"/>
      <c r="BT3" s="322"/>
      <c r="BU3" s="322"/>
      <c r="BV3" s="322"/>
      <c r="BW3" s="322"/>
      <c r="BX3" s="322"/>
      <c r="BY3" s="322"/>
      <c r="BZ3" s="322"/>
      <c r="CA3" s="322"/>
      <c r="CB3" s="322"/>
      <c r="CC3" s="322"/>
      <c r="CD3" s="322"/>
      <c r="CE3" s="322"/>
      <c r="CF3" s="322"/>
      <c r="CG3" s="322"/>
      <c r="CH3" s="322"/>
      <c r="CI3" s="322"/>
      <c r="CJ3" s="322"/>
      <c r="CK3" s="322"/>
      <c r="CL3" s="322"/>
      <c r="CM3" s="322"/>
      <c r="CN3" s="322"/>
      <c r="CO3" s="322"/>
      <c r="CP3" s="322"/>
      <c r="CQ3" s="322"/>
      <c r="CR3" s="322"/>
      <c r="CS3" s="322"/>
      <c r="CT3" s="322"/>
      <c r="CU3" s="322"/>
      <c r="CV3" s="322"/>
      <c r="CW3" s="322"/>
      <c r="CX3" s="322"/>
      <c r="CY3" s="322"/>
      <c r="CZ3" s="322"/>
      <c r="DA3" s="322"/>
      <c r="DB3" s="322"/>
      <c r="DC3" s="322"/>
      <c r="DD3" s="322"/>
      <c r="DE3" s="322"/>
      <c r="DF3" s="322"/>
      <c r="DG3" s="322"/>
      <c r="DH3" s="322"/>
      <c r="DI3" s="322"/>
      <c r="DJ3" s="322"/>
      <c r="DK3" s="322"/>
      <c r="DL3" s="322"/>
      <c r="DM3" s="322"/>
      <c r="DN3" s="322"/>
      <c r="DO3" s="322"/>
      <c r="DP3" s="322"/>
      <c r="DQ3" s="322"/>
      <c r="DR3" s="322"/>
      <c r="DS3" s="322"/>
      <c r="DT3" s="322"/>
      <c r="DU3" s="322"/>
      <c r="DV3" s="322"/>
      <c r="DW3" s="322"/>
      <c r="DX3" s="322"/>
      <c r="DY3" s="322"/>
      <c r="DZ3" s="322"/>
      <c r="EA3" s="322"/>
      <c r="EB3" s="322"/>
      <c r="EC3" s="322"/>
      <c r="ED3" s="322"/>
      <c r="EE3" s="322"/>
      <c r="EF3" s="322"/>
      <c r="EG3" s="322"/>
      <c r="EH3" s="322"/>
      <c r="EI3" s="322"/>
      <c r="EJ3" s="322"/>
      <c r="EK3" s="322"/>
      <c r="EL3" s="322"/>
      <c r="EM3" s="318"/>
      <c r="EN3" s="319"/>
      <c r="EO3" s="319"/>
      <c r="EP3" s="319"/>
      <c r="EQ3" s="319"/>
      <c r="ER3" s="319"/>
      <c r="ES3" s="319"/>
      <c r="ET3" s="319"/>
      <c r="EU3" s="319"/>
      <c r="EV3" s="319"/>
      <c r="EW3" s="319"/>
      <c r="EX3" s="319"/>
      <c r="EY3" s="319"/>
      <c r="EZ3" s="319"/>
      <c r="FA3" s="319"/>
      <c r="FB3" s="319"/>
      <c r="FC3" s="319"/>
      <c r="FD3" s="319"/>
      <c r="FE3" s="319"/>
      <c r="FF3" s="319"/>
      <c r="FG3" s="319"/>
      <c r="FH3" s="319"/>
      <c r="FI3" s="318"/>
      <c r="FJ3" s="319"/>
      <c r="FK3" s="319"/>
      <c r="FL3" s="319"/>
      <c r="FM3" s="319"/>
      <c r="FN3" s="319"/>
      <c r="FO3" s="319"/>
      <c r="FP3" s="319"/>
      <c r="FQ3" s="319"/>
      <c r="FR3" s="319"/>
      <c r="FS3" s="319"/>
      <c r="FT3" s="319"/>
      <c r="FU3" s="319"/>
      <c r="FV3" s="319"/>
      <c r="FW3" s="319"/>
      <c r="FX3" s="319"/>
      <c r="FY3" s="319"/>
      <c r="FZ3" s="319"/>
      <c r="GA3" s="319"/>
      <c r="GB3" s="319"/>
      <c r="GC3" s="318"/>
      <c r="GD3" s="319"/>
      <c r="GE3" s="319"/>
      <c r="GF3" s="319"/>
      <c r="GG3" s="319"/>
      <c r="GH3" s="319"/>
      <c r="GI3" s="319"/>
      <c r="GJ3" s="319"/>
      <c r="GK3" s="319"/>
      <c r="GL3" s="319"/>
      <c r="GM3" s="319"/>
      <c r="GN3" s="319"/>
      <c r="GO3" s="319"/>
      <c r="GP3" s="319"/>
      <c r="GQ3" s="319"/>
      <c r="GR3" s="319"/>
      <c r="GS3" s="319"/>
      <c r="GT3" s="319"/>
      <c r="GU3" s="319"/>
      <c r="GV3" s="319"/>
      <c r="GW3" s="319"/>
      <c r="GX3" s="319"/>
      <c r="GY3" s="319"/>
      <c r="GZ3" s="318"/>
      <c r="HA3" s="319"/>
      <c r="HB3" s="319"/>
      <c r="HC3" s="319"/>
      <c r="HD3" s="319"/>
      <c r="HE3" s="319"/>
      <c r="HF3" s="319"/>
      <c r="HG3" s="319"/>
      <c r="HH3" s="319"/>
      <c r="HI3" s="319"/>
      <c r="HJ3" s="319"/>
      <c r="HK3" s="319"/>
      <c r="HL3" s="319"/>
      <c r="HM3" s="319"/>
      <c r="HN3" s="319"/>
      <c r="HO3" s="319"/>
      <c r="HP3" s="319"/>
      <c r="HQ3" s="319"/>
      <c r="HR3" s="319"/>
      <c r="HS3" s="319"/>
      <c r="HT3" s="318"/>
      <c r="HU3" s="319"/>
      <c r="HV3" s="319"/>
      <c r="HW3" s="319"/>
      <c r="HX3" s="319"/>
      <c r="HY3" s="319"/>
      <c r="HZ3" s="319"/>
      <c r="IA3" s="319"/>
      <c r="IB3" s="319"/>
      <c r="IC3" s="319"/>
      <c r="ID3" s="319"/>
      <c r="IE3" s="319"/>
      <c r="IF3" s="319"/>
      <c r="IG3" s="319"/>
      <c r="IH3" s="319"/>
      <c r="II3" s="319"/>
      <c r="IJ3" s="319"/>
      <c r="IK3" s="319"/>
      <c r="IL3" s="319"/>
      <c r="IM3" s="319"/>
      <c r="IN3" s="319"/>
      <c r="IO3" s="319"/>
      <c r="IP3" s="319"/>
      <c r="IQ3" s="318"/>
      <c r="IR3" s="319"/>
      <c r="IS3" s="319"/>
      <c r="IT3" s="319"/>
      <c r="IU3" s="319"/>
      <c r="IV3" s="319"/>
      <c r="IW3" s="319"/>
      <c r="IX3" s="319"/>
      <c r="IY3" s="319"/>
      <c r="IZ3" s="319"/>
      <c r="JA3" s="319"/>
      <c r="JB3" s="319"/>
      <c r="JC3" s="319"/>
      <c r="JD3" s="319"/>
      <c r="JE3" s="319"/>
      <c r="JF3" s="319"/>
      <c r="JG3" s="319"/>
      <c r="JH3" s="319"/>
      <c r="JI3" s="319"/>
      <c r="JJ3" s="319"/>
      <c r="JK3" s="319"/>
      <c r="JL3" s="319"/>
      <c r="JM3" s="319"/>
      <c r="JN3" s="319"/>
      <c r="JO3" s="319"/>
      <c r="JP3" s="319"/>
      <c r="JQ3" s="319"/>
      <c r="JR3" s="319"/>
      <c r="JS3" s="319"/>
      <c r="JT3" s="319"/>
      <c r="JU3" s="319"/>
      <c r="JV3" s="319"/>
      <c r="JW3" s="319"/>
      <c r="JX3" s="319"/>
      <c r="JY3" s="319"/>
      <c r="JZ3" s="319"/>
      <c r="KA3" s="319"/>
      <c r="KB3" s="319"/>
      <c r="KC3" s="319"/>
      <c r="KD3" s="319"/>
      <c r="KE3" s="319"/>
      <c r="KF3" s="319"/>
      <c r="KG3" s="319"/>
    </row>
    <row r="4" spans="1:293" ht="18.5" x14ac:dyDescent="0.45">
      <c r="C4" s="320"/>
      <c r="D4" s="320"/>
      <c r="E4" s="320"/>
      <c r="F4" s="320"/>
      <c r="G4" s="320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35">
      <c r="D5" s="87"/>
      <c r="L5" s="88" t="s">
        <v>151</v>
      </c>
      <c r="M5" s="88" t="s">
        <v>152</v>
      </c>
      <c r="N5" s="88" t="s">
        <v>153</v>
      </c>
      <c r="O5" s="88" t="s">
        <v>154</v>
      </c>
      <c r="P5" s="88" t="s">
        <v>155</v>
      </c>
      <c r="Q5" s="88" t="s">
        <v>151</v>
      </c>
      <c r="R5" s="88" t="s">
        <v>152</v>
      </c>
      <c r="S5" s="88" t="s">
        <v>153</v>
      </c>
      <c r="T5" s="88" t="s">
        <v>154</v>
      </c>
      <c r="U5" s="88" t="s">
        <v>155</v>
      </c>
      <c r="V5" s="88" t="s">
        <v>151</v>
      </c>
      <c r="W5" s="88" t="s">
        <v>152</v>
      </c>
      <c r="X5" s="88" t="s">
        <v>153</v>
      </c>
      <c r="Y5" s="88" t="s">
        <v>154</v>
      </c>
      <c r="Z5" s="88" t="s">
        <v>155</v>
      </c>
      <c r="AA5" s="88" t="s">
        <v>151</v>
      </c>
      <c r="AB5" s="88" t="s">
        <v>152</v>
      </c>
      <c r="AC5" s="88" t="s">
        <v>153</v>
      </c>
      <c r="AD5" s="88" t="s">
        <v>154</v>
      </c>
      <c r="AE5" s="88" t="s">
        <v>155</v>
      </c>
      <c r="AF5" s="88" t="s">
        <v>151</v>
      </c>
      <c r="AG5" s="88" t="s">
        <v>152</v>
      </c>
      <c r="AH5" s="88" t="s">
        <v>153</v>
      </c>
      <c r="AI5" s="88" t="s">
        <v>154</v>
      </c>
      <c r="AJ5" s="88" t="s">
        <v>155</v>
      </c>
      <c r="AK5" s="88" t="s">
        <v>151</v>
      </c>
      <c r="AL5" s="88" t="s">
        <v>152</v>
      </c>
      <c r="AM5" s="88" t="s">
        <v>153</v>
      </c>
      <c r="AN5" s="88" t="s">
        <v>154</v>
      </c>
      <c r="AO5" s="88" t="s">
        <v>155</v>
      </c>
      <c r="AP5" s="88" t="s">
        <v>151</v>
      </c>
      <c r="AQ5" s="88" t="s">
        <v>152</v>
      </c>
      <c r="AR5" s="88" t="s">
        <v>153</v>
      </c>
      <c r="AS5" s="88" t="s">
        <v>154</v>
      </c>
      <c r="AT5" s="88" t="s">
        <v>155</v>
      </c>
      <c r="AU5" s="88" t="s">
        <v>151</v>
      </c>
      <c r="AV5" s="88" t="s">
        <v>152</v>
      </c>
      <c r="AW5" s="88" t="s">
        <v>153</v>
      </c>
      <c r="AX5" s="88" t="s">
        <v>154</v>
      </c>
      <c r="AY5" s="88" t="s">
        <v>155</v>
      </c>
      <c r="AZ5" s="88" t="s">
        <v>151</v>
      </c>
      <c r="BA5" s="88" t="s">
        <v>152</v>
      </c>
      <c r="BB5" s="88" t="s">
        <v>153</v>
      </c>
      <c r="BC5" s="88" t="s">
        <v>154</v>
      </c>
      <c r="BD5" s="88" t="s">
        <v>155</v>
      </c>
      <c r="BE5" s="88" t="s">
        <v>151</v>
      </c>
      <c r="BF5" s="88" t="s">
        <v>152</v>
      </c>
      <c r="BG5" s="88" t="s">
        <v>153</v>
      </c>
      <c r="BH5" s="88" t="s">
        <v>154</v>
      </c>
      <c r="BI5" s="88" t="s">
        <v>155</v>
      </c>
      <c r="BJ5" s="88" t="s">
        <v>151</v>
      </c>
      <c r="BK5" s="88" t="s">
        <v>152</v>
      </c>
      <c r="BL5" s="88" t="s">
        <v>153</v>
      </c>
      <c r="BM5" s="88" t="s">
        <v>154</v>
      </c>
      <c r="BN5" s="88" t="s">
        <v>155</v>
      </c>
      <c r="BO5" s="88" t="s">
        <v>151</v>
      </c>
      <c r="BP5" s="88" t="s">
        <v>152</v>
      </c>
      <c r="BQ5" s="88" t="s">
        <v>153</v>
      </c>
      <c r="BR5" s="88" t="s">
        <v>154</v>
      </c>
      <c r="BS5" s="88" t="s">
        <v>155</v>
      </c>
      <c r="BT5" s="88" t="s">
        <v>151</v>
      </c>
      <c r="BU5" s="88" t="s">
        <v>152</v>
      </c>
      <c r="BV5" s="88" t="s">
        <v>153</v>
      </c>
      <c r="BW5" s="88" t="s">
        <v>154</v>
      </c>
      <c r="BX5" s="88" t="s">
        <v>155</v>
      </c>
      <c r="BY5" s="88" t="s">
        <v>151</v>
      </c>
      <c r="BZ5" s="88" t="s">
        <v>152</v>
      </c>
      <c r="CA5" s="88" t="s">
        <v>153</v>
      </c>
      <c r="CB5" s="88" t="s">
        <v>154</v>
      </c>
      <c r="CC5" s="88" t="s">
        <v>155</v>
      </c>
      <c r="CD5" s="88" t="s">
        <v>151</v>
      </c>
      <c r="CE5" s="88" t="s">
        <v>152</v>
      </c>
      <c r="CF5" s="88" t="s">
        <v>153</v>
      </c>
      <c r="CG5" s="88" t="s">
        <v>154</v>
      </c>
      <c r="CH5" s="88" t="s">
        <v>155</v>
      </c>
      <c r="CI5" s="88" t="s">
        <v>151</v>
      </c>
      <c r="CJ5" s="88" t="s">
        <v>152</v>
      </c>
      <c r="CK5" s="88" t="s">
        <v>153</v>
      </c>
      <c r="CL5" s="88" t="s">
        <v>154</v>
      </c>
      <c r="CM5" s="88" t="s">
        <v>155</v>
      </c>
      <c r="CN5" s="88" t="s">
        <v>151</v>
      </c>
      <c r="CO5" s="88" t="s">
        <v>152</v>
      </c>
      <c r="CP5" s="88" t="s">
        <v>153</v>
      </c>
      <c r="CQ5" s="88" t="s">
        <v>154</v>
      </c>
      <c r="CR5" s="88" t="s">
        <v>155</v>
      </c>
      <c r="CS5" s="88" t="s">
        <v>151</v>
      </c>
      <c r="CT5" s="88" t="s">
        <v>152</v>
      </c>
      <c r="CU5" s="88" t="s">
        <v>153</v>
      </c>
      <c r="CV5" s="88" t="s">
        <v>154</v>
      </c>
      <c r="CW5" s="88" t="s">
        <v>155</v>
      </c>
      <c r="CX5" s="88" t="s">
        <v>151</v>
      </c>
      <c r="CY5" s="88" t="s">
        <v>152</v>
      </c>
      <c r="CZ5" s="88" t="s">
        <v>153</v>
      </c>
      <c r="DA5" s="88" t="s">
        <v>154</v>
      </c>
      <c r="DB5" s="88" t="s">
        <v>155</v>
      </c>
      <c r="DC5" s="88" t="s">
        <v>151</v>
      </c>
      <c r="DD5" s="88" t="s">
        <v>152</v>
      </c>
      <c r="DE5" s="88" t="s">
        <v>153</v>
      </c>
      <c r="DF5" s="88" t="s">
        <v>154</v>
      </c>
      <c r="DG5" s="88" t="s">
        <v>155</v>
      </c>
      <c r="DH5" s="88" t="s">
        <v>151</v>
      </c>
      <c r="DI5" s="88" t="s">
        <v>152</v>
      </c>
      <c r="DJ5" s="88" t="s">
        <v>153</v>
      </c>
      <c r="DK5" s="88" t="s">
        <v>154</v>
      </c>
      <c r="DL5" s="88" t="s">
        <v>155</v>
      </c>
      <c r="DM5" s="88" t="s">
        <v>151</v>
      </c>
      <c r="DN5" s="88" t="s">
        <v>152</v>
      </c>
      <c r="DO5" s="88" t="s">
        <v>153</v>
      </c>
      <c r="DP5" s="88" t="s">
        <v>154</v>
      </c>
      <c r="DQ5" s="88" t="s">
        <v>155</v>
      </c>
      <c r="DR5" s="88" t="s">
        <v>151</v>
      </c>
      <c r="DS5" s="88" t="s">
        <v>152</v>
      </c>
      <c r="DT5" s="88" t="s">
        <v>153</v>
      </c>
      <c r="DU5" s="88" t="s">
        <v>154</v>
      </c>
      <c r="DV5" s="88" t="s">
        <v>155</v>
      </c>
      <c r="DW5" s="88" t="s">
        <v>151</v>
      </c>
      <c r="DX5" s="88" t="s">
        <v>152</v>
      </c>
      <c r="DY5" s="88" t="s">
        <v>153</v>
      </c>
      <c r="DZ5" s="88" t="s">
        <v>154</v>
      </c>
      <c r="EA5" s="88" t="s">
        <v>155</v>
      </c>
      <c r="EB5" s="88" t="s">
        <v>151</v>
      </c>
      <c r="EC5" s="88" t="s">
        <v>152</v>
      </c>
      <c r="ED5" s="88" t="s">
        <v>153</v>
      </c>
      <c r="EE5" s="88" t="s">
        <v>154</v>
      </c>
      <c r="EF5" s="88" t="s">
        <v>155</v>
      </c>
      <c r="EG5" s="88" t="s">
        <v>151</v>
      </c>
      <c r="EH5" s="88" t="s">
        <v>152</v>
      </c>
      <c r="EI5" s="88" t="s">
        <v>153</v>
      </c>
      <c r="EJ5" s="88" t="s">
        <v>154</v>
      </c>
      <c r="EK5" s="88" t="s">
        <v>155</v>
      </c>
      <c r="EL5" s="88" t="s">
        <v>151</v>
      </c>
      <c r="EM5" s="88" t="s">
        <v>152</v>
      </c>
      <c r="EN5" s="88" t="s">
        <v>153</v>
      </c>
      <c r="EO5" s="88" t="s">
        <v>154</v>
      </c>
      <c r="EP5" s="88" t="s">
        <v>155</v>
      </c>
      <c r="EQ5" s="88" t="s">
        <v>151</v>
      </c>
      <c r="ER5" s="88" t="s">
        <v>152</v>
      </c>
      <c r="ES5" s="88" t="s">
        <v>153</v>
      </c>
      <c r="ET5" s="88" t="s">
        <v>154</v>
      </c>
      <c r="EU5" s="88" t="s">
        <v>155</v>
      </c>
      <c r="EV5" s="88" t="s">
        <v>151</v>
      </c>
      <c r="EW5" s="88" t="s">
        <v>152</v>
      </c>
      <c r="EX5" s="88" t="s">
        <v>153</v>
      </c>
      <c r="EY5" s="88" t="s">
        <v>154</v>
      </c>
      <c r="EZ5" s="88" t="s">
        <v>155</v>
      </c>
      <c r="FA5" s="88" t="s">
        <v>151</v>
      </c>
      <c r="FB5" s="88" t="s">
        <v>152</v>
      </c>
      <c r="FC5" s="88" t="s">
        <v>153</v>
      </c>
      <c r="FD5" s="88" t="s">
        <v>154</v>
      </c>
      <c r="FE5" s="88" t="s">
        <v>155</v>
      </c>
      <c r="FF5" s="88" t="s">
        <v>151</v>
      </c>
      <c r="FG5" s="88" t="s">
        <v>152</v>
      </c>
      <c r="FH5" s="88" t="s">
        <v>153</v>
      </c>
      <c r="FI5" s="88" t="s">
        <v>154</v>
      </c>
      <c r="FJ5" s="88" t="s">
        <v>155</v>
      </c>
      <c r="FK5" s="88" t="s">
        <v>151</v>
      </c>
      <c r="FL5" s="88" t="s">
        <v>152</v>
      </c>
      <c r="FM5" s="88" t="s">
        <v>153</v>
      </c>
      <c r="FN5" s="88" t="s">
        <v>154</v>
      </c>
      <c r="FO5" s="88" t="s">
        <v>155</v>
      </c>
      <c r="FP5" s="88" t="s">
        <v>151</v>
      </c>
      <c r="FQ5" s="88" t="s">
        <v>152</v>
      </c>
      <c r="FR5" s="88" t="s">
        <v>153</v>
      </c>
      <c r="FS5" s="88" t="s">
        <v>154</v>
      </c>
      <c r="FT5" s="88" t="s">
        <v>155</v>
      </c>
      <c r="FU5" s="88" t="s">
        <v>151</v>
      </c>
      <c r="FV5" s="88" t="s">
        <v>152</v>
      </c>
      <c r="FW5" s="88" t="s">
        <v>153</v>
      </c>
      <c r="FX5" s="88" t="s">
        <v>154</v>
      </c>
      <c r="FY5" s="88" t="s">
        <v>155</v>
      </c>
      <c r="FZ5" s="88" t="s">
        <v>151</v>
      </c>
      <c r="GA5" s="88" t="s">
        <v>152</v>
      </c>
      <c r="GB5" s="88" t="s">
        <v>153</v>
      </c>
      <c r="GC5" s="88" t="s">
        <v>154</v>
      </c>
      <c r="GD5" s="88" t="s">
        <v>155</v>
      </c>
      <c r="GE5" s="88" t="s">
        <v>151</v>
      </c>
      <c r="GF5" s="88" t="s">
        <v>152</v>
      </c>
      <c r="GG5" s="88" t="s">
        <v>153</v>
      </c>
      <c r="GH5" s="88" t="s">
        <v>154</v>
      </c>
      <c r="GI5" s="88" t="s">
        <v>155</v>
      </c>
      <c r="GJ5" s="88" t="s">
        <v>151</v>
      </c>
      <c r="GK5" s="88" t="s">
        <v>152</v>
      </c>
      <c r="GL5" s="88" t="s">
        <v>153</v>
      </c>
      <c r="GM5" s="88" t="s">
        <v>154</v>
      </c>
      <c r="GN5" s="88" t="s">
        <v>155</v>
      </c>
      <c r="GO5" s="88" t="s">
        <v>151</v>
      </c>
      <c r="GP5" s="88" t="s">
        <v>152</v>
      </c>
      <c r="GQ5" s="88" t="s">
        <v>153</v>
      </c>
      <c r="GR5" s="88" t="s">
        <v>154</v>
      </c>
      <c r="GS5" s="88" t="s">
        <v>155</v>
      </c>
      <c r="GT5" s="88" t="s">
        <v>151</v>
      </c>
      <c r="GU5" s="88" t="s">
        <v>152</v>
      </c>
      <c r="GV5" s="88" t="s">
        <v>153</v>
      </c>
      <c r="GW5" s="88" t="s">
        <v>154</v>
      </c>
      <c r="GX5" s="88" t="s">
        <v>155</v>
      </c>
      <c r="GY5" s="88" t="s">
        <v>151</v>
      </c>
      <c r="GZ5" s="88" t="s">
        <v>152</v>
      </c>
      <c r="HA5" s="88" t="s">
        <v>153</v>
      </c>
      <c r="HB5" s="88" t="s">
        <v>154</v>
      </c>
      <c r="HC5" s="88" t="s">
        <v>155</v>
      </c>
      <c r="HD5" s="88" t="s">
        <v>151</v>
      </c>
      <c r="HE5" s="88" t="s">
        <v>152</v>
      </c>
      <c r="HF5" s="88" t="s">
        <v>153</v>
      </c>
      <c r="HG5" s="88" t="s">
        <v>154</v>
      </c>
      <c r="HH5" s="88" t="s">
        <v>155</v>
      </c>
      <c r="HI5" s="88" t="s">
        <v>151</v>
      </c>
      <c r="HJ5" s="88" t="s">
        <v>152</v>
      </c>
      <c r="HK5" s="88" t="s">
        <v>153</v>
      </c>
      <c r="HL5" s="88" t="s">
        <v>154</v>
      </c>
      <c r="HM5" s="88" t="s">
        <v>155</v>
      </c>
      <c r="HN5" s="88" t="s">
        <v>151</v>
      </c>
      <c r="HO5" s="88" t="s">
        <v>152</v>
      </c>
      <c r="HP5" s="88" t="s">
        <v>153</v>
      </c>
      <c r="HQ5" s="88" t="s">
        <v>154</v>
      </c>
      <c r="HR5" s="88" t="s">
        <v>155</v>
      </c>
      <c r="HS5" s="88" t="s">
        <v>151</v>
      </c>
      <c r="HT5" s="88" t="s">
        <v>152</v>
      </c>
      <c r="HU5" s="88" t="s">
        <v>153</v>
      </c>
      <c r="HV5" s="88" t="s">
        <v>154</v>
      </c>
      <c r="HW5" s="88" t="s">
        <v>155</v>
      </c>
      <c r="HX5" s="88" t="s">
        <v>151</v>
      </c>
      <c r="HY5" s="88" t="s">
        <v>152</v>
      </c>
      <c r="HZ5" s="88" t="s">
        <v>153</v>
      </c>
      <c r="IA5" s="88" t="s">
        <v>154</v>
      </c>
      <c r="IB5" s="88" t="s">
        <v>155</v>
      </c>
      <c r="IC5" s="88" t="s">
        <v>151</v>
      </c>
      <c r="ID5" s="88" t="s">
        <v>152</v>
      </c>
      <c r="IE5" s="88" t="s">
        <v>153</v>
      </c>
      <c r="IF5" s="88" t="s">
        <v>154</v>
      </c>
      <c r="IG5" s="88" t="s">
        <v>155</v>
      </c>
      <c r="IH5" s="88" t="s">
        <v>151</v>
      </c>
      <c r="II5" s="88" t="s">
        <v>152</v>
      </c>
      <c r="IJ5" s="88" t="s">
        <v>153</v>
      </c>
      <c r="IK5" s="88" t="s">
        <v>154</v>
      </c>
      <c r="IL5" s="88" t="s">
        <v>155</v>
      </c>
      <c r="IM5" s="88" t="s">
        <v>151</v>
      </c>
      <c r="IN5" s="88" t="s">
        <v>152</v>
      </c>
      <c r="IO5" s="88" t="s">
        <v>153</v>
      </c>
      <c r="IP5" s="88" t="s">
        <v>154</v>
      </c>
      <c r="IQ5" s="88" t="s">
        <v>155</v>
      </c>
      <c r="IR5" s="88" t="s">
        <v>151</v>
      </c>
      <c r="IS5" s="88" t="s">
        <v>152</v>
      </c>
      <c r="IT5" s="88" t="s">
        <v>153</v>
      </c>
      <c r="IU5" s="88" t="s">
        <v>154</v>
      </c>
      <c r="IV5" s="88" t="s">
        <v>155</v>
      </c>
      <c r="IW5" s="88" t="s">
        <v>151</v>
      </c>
      <c r="IX5" s="88" t="s">
        <v>152</v>
      </c>
      <c r="IY5" s="88" t="s">
        <v>153</v>
      </c>
      <c r="IZ5" s="88" t="s">
        <v>154</v>
      </c>
      <c r="JA5" s="88" t="s">
        <v>155</v>
      </c>
      <c r="JB5" s="88" t="s">
        <v>151</v>
      </c>
      <c r="JC5" s="88" t="s">
        <v>152</v>
      </c>
      <c r="JD5" s="88" t="s">
        <v>153</v>
      </c>
      <c r="JE5" s="88" t="s">
        <v>154</v>
      </c>
      <c r="JF5" s="88" t="s">
        <v>155</v>
      </c>
      <c r="JG5" s="88" t="s">
        <v>151</v>
      </c>
      <c r="JH5" s="88" t="s">
        <v>152</v>
      </c>
      <c r="JI5" s="88" t="s">
        <v>153</v>
      </c>
      <c r="JJ5" s="88" t="s">
        <v>154</v>
      </c>
      <c r="JK5" s="88" t="s">
        <v>155</v>
      </c>
      <c r="JL5" s="88" t="s">
        <v>151</v>
      </c>
      <c r="JM5" s="88" t="s">
        <v>152</v>
      </c>
      <c r="JN5" s="88" t="s">
        <v>153</v>
      </c>
      <c r="JO5" s="88" t="s">
        <v>154</v>
      </c>
      <c r="JP5" s="88" t="s">
        <v>155</v>
      </c>
      <c r="JQ5" s="88" t="s">
        <v>151</v>
      </c>
      <c r="JR5" s="88" t="s">
        <v>152</v>
      </c>
      <c r="JS5" s="88" t="s">
        <v>153</v>
      </c>
      <c r="JT5" s="88" t="s">
        <v>154</v>
      </c>
      <c r="JU5" s="88" t="s">
        <v>155</v>
      </c>
      <c r="JV5" s="88" t="s">
        <v>151</v>
      </c>
      <c r="JW5" s="88" t="s">
        <v>152</v>
      </c>
      <c r="JX5" s="88" t="s">
        <v>153</v>
      </c>
      <c r="JY5" s="88" t="s">
        <v>154</v>
      </c>
      <c r="JZ5" s="88" t="s">
        <v>155</v>
      </c>
      <c r="KA5" s="88" t="s">
        <v>151</v>
      </c>
      <c r="KB5" s="88" t="s">
        <v>152</v>
      </c>
      <c r="KC5" s="88" t="s">
        <v>153</v>
      </c>
      <c r="KD5" s="88" t="s">
        <v>154</v>
      </c>
      <c r="KE5" s="88" t="s">
        <v>155</v>
      </c>
      <c r="KF5" s="88" t="s">
        <v>151</v>
      </c>
      <c r="KG5" s="88" t="s">
        <v>152</v>
      </c>
    </row>
    <row r="7" spans="1:293" ht="18.75" customHeight="1" thickBot="1" x14ac:dyDescent="0.5">
      <c r="C7" s="321"/>
      <c r="D7" s="321"/>
      <c r="E7" s="321"/>
      <c r="F7" s="321"/>
      <c r="G7" s="321"/>
    </row>
    <row r="8" spans="1:293" ht="15.75" customHeight="1" thickBot="1" x14ac:dyDescent="0.4">
      <c r="A8" s="89" t="s">
        <v>156</v>
      </c>
      <c r="C8" s="90" t="s">
        <v>157</v>
      </c>
      <c r="D8" s="90" t="s">
        <v>158</v>
      </c>
      <c r="E8" s="91"/>
      <c r="F8" s="91" t="s">
        <v>159</v>
      </c>
      <c r="G8" s="90" t="s">
        <v>160</v>
      </c>
      <c r="I8" s="82" t="s">
        <v>161</v>
      </c>
      <c r="M8" s="92" t="s">
        <v>162</v>
      </c>
      <c r="N8" s="93" t="s">
        <v>163</v>
      </c>
      <c r="O8" s="93" t="s">
        <v>163</v>
      </c>
      <c r="P8" s="93" t="s">
        <v>163</v>
      </c>
      <c r="Q8" s="93" t="s">
        <v>163</v>
      </c>
    </row>
    <row r="9" spans="1:293" ht="15" thickBot="1" x14ac:dyDescent="0.4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164</v>
      </c>
      <c r="R9" s="99" t="s">
        <v>165</v>
      </c>
      <c r="S9" s="99" t="s">
        <v>165</v>
      </c>
      <c r="T9" s="99" t="s">
        <v>165</v>
      </c>
      <c r="U9" s="99" t="s">
        <v>165</v>
      </c>
      <c r="V9" s="99" t="s">
        <v>165</v>
      </c>
      <c r="W9" s="99" t="s">
        <v>165</v>
      </c>
      <c r="X9" s="99" t="s">
        <v>165</v>
      </c>
      <c r="Y9" s="99" t="s">
        <v>165</v>
      </c>
      <c r="Z9" s="99" t="s">
        <v>165</v>
      </c>
    </row>
    <row r="10" spans="1:293" ht="15" thickTop="1" x14ac:dyDescent="0.35">
      <c r="C10" s="100"/>
      <c r="D10" s="100" t="s">
        <v>166</v>
      </c>
      <c r="E10" s="100" t="s">
        <v>167</v>
      </c>
      <c r="F10" s="101" t="s">
        <v>30</v>
      </c>
      <c r="G10" s="102" t="s">
        <v>168</v>
      </c>
      <c r="I10" s="82" t="s">
        <v>169</v>
      </c>
      <c r="R10" s="103" t="s">
        <v>170</v>
      </c>
      <c r="S10" s="103" t="s">
        <v>170</v>
      </c>
      <c r="T10" s="103" t="s">
        <v>170</v>
      </c>
      <c r="U10" s="103" t="s">
        <v>170</v>
      </c>
      <c r="V10" s="103" t="s">
        <v>170</v>
      </c>
      <c r="W10" s="103" t="s">
        <v>170</v>
      </c>
      <c r="X10" s="103" t="s">
        <v>170</v>
      </c>
      <c r="Y10" s="103" t="s">
        <v>170</v>
      </c>
      <c r="Z10" s="103" t="s">
        <v>170</v>
      </c>
    </row>
    <row r="11" spans="1:293" x14ac:dyDescent="0.35">
      <c r="A11" s="82">
        <v>1</v>
      </c>
      <c r="C11" s="104" t="s">
        <v>171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172</v>
      </c>
      <c r="AB11" s="108" t="s">
        <v>172</v>
      </c>
      <c r="AC11" s="108" t="s">
        <v>172</v>
      </c>
      <c r="AD11" s="108" t="s">
        <v>172</v>
      </c>
      <c r="AE11" s="108" t="s">
        <v>172</v>
      </c>
      <c r="AF11" s="108" t="s">
        <v>172</v>
      </c>
      <c r="AG11" s="108" t="s">
        <v>172</v>
      </c>
      <c r="AH11" s="109" t="s">
        <v>173</v>
      </c>
    </row>
    <row r="12" spans="1:293" x14ac:dyDescent="0.3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35">
      <c r="A13" s="82">
        <v>1</v>
      </c>
      <c r="C13" s="111" t="s">
        <v>174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35">
      <c r="A14" s="82">
        <v>1</v>
      </c>
      <c r="C14" s="112" t="s">
        <v>175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3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176</v>
      </c>
      <c r="J15" s="113"/>
      <c r="K15" s="113"/>
      <c r="M15" s="113" t="s">
        <v>177</v>
      </c>
      <c r="N15" s="113" t="s">
        <v>177</v>
      </c>
      <c r="O15" s="113" t="s">
        <v>177</v>
      </c>
      <c r="P15" s="113" t="s">
        <v>177</v>
      </c>
      <c r="Q15" s="113" t="s">
        <v>177</v>
      </c>
      <c r="R15" s="113" t="s">
        <v>177</v>
      </c>
      <c r="S15" s="113" t="s">
        <v>177</v>
      </c>
      <c r="T15" s="113" t="s">
        <v>177</v>
      </c>
      <c r="U15" s="113" t="s">
        <v>177</v>
      </c>
      <c r="V15" s="113" t="s">
        <v>177</v>
      </c>
      <c r="W15" s="113" t="s">
        <v>177</v>
      </c>
      <c r="X15" s="113" t="s">
        <v>177</v>
      </c>
      <c r="Y15" s="113" t="s">
        <v>177</v>
      </c>
      <c r="Z15" s="113" t="s">
        <v>177</v>
      </c>
      <c r="AA15" s="113" t="s">
        <v>177</v>
      </c>
      <c r="AB15" s="113" t="s">
        <v>177</v>
      </c>
      <c r="AC15" s="113" t="s">
        <v>177</v>
      </c>
      <c r="AD15" s="113" t="s">
        <v>177</v>
      </c>
      <c r="AE15" s="113" t="s">
        <v>177</v>
      </c>
      <c r="AF15" s="113" t="s">
        <v>177</v>
      </c>
      <c r="AG15" s="113" t="s">
        <v>177</v>
      </c>
      <c r="AH15" s="113" t="s">
        <v>177</v>
      </c>
    </row>
    <row r="16" spans="1:293" x14ac:dyDescent="0.35">
      <c r="E16" s="36" t="s">
        <v>178</v>
      </c>
      <c r="F16" s="107">
        <f>F15+2</f>
        <v>11.191176470588236</v>
      </c>
      <c r="G16" s="117">
        <f>F16/22</f>
        <v>0.50868983957219249</v>
      </c>
    </row>
    <row r="17" spans="3:7" ht="15" thickBot="1" x14ac:dyDescent="0.4">
      <c r="E17" s="118"/>
      <c r="F17" s="118"/>
    </row>
    <row r="18" spans="3:7" ht="15.75" customHeight="1" thickBot="1" x14ac:dyDescent="0.4">
      <c r="E18" s="118"/>
      <c r="F18" s="119"/>
      <c r="G18" s="120" t="s">
        <v>179</v>
      </c>
    </row>
    <row r="19" spans="3:7" ht="15" thickBot="1" x14ac:dyDescent="0.4">
      <c r="E19" s="118"/>
      <c r="F19" s="121" t="s">
        <v>180</v>
      </c>
      <c r="G19" s="122"/>
    </row>
    <row r="20" spans="3:7" ht="15" thickBot="1" x14ac:dyDescent="0.4">
      <c r="E20" s="118"/>
      <c r="F20" s="118"/>
    </row>
    <row r="21" spans="3:7" ht="15" thickBot="1" x14ac:dyDescent="0.4">
      <c r="C21" s="123" t="s">
        <v>181</v>
      </c>
      <c r="D21" s="124"/>
    </row>
    <row r="22" spans="3:7" ht="15" thickBot="1" x14ac:dyDescent="0.4">
      <c r="C22" s="123" t="s">
        <v>182</v>
      </c>
      <c r="D22" s="124"/>
    </row>
    <row r="23" spans="3:7" ht="15" thickBot="1" x14ac:dyDescent="0.4">
      <c r="C23" s="125" t="s">
        <v>183</v>
      </c>
      <c r="D23" s="126">
        <v>1</v>
      </c>
    </row>
    <row r="24" spans="3:7" ht="15" thickBot="1" x14ac:dyDescent="0.4">
      <c r="C24" s="127" t="s">
        <v>30</v>
      </c>
      <c r="D24" s="128">
        <v>22</v>
      </c>
    </row>
    <row r="27" spans="3:7" x14ac:dyDescent="0.35">
      <c r="C27" s="36" t="s">
        <v>184</v>
      </c>
    </row>
    <row r="28" spans="3:7" x14ac:dyDescent="0.35">
      <c r="C28" s="129" t="s">
        <v>185</v>
      </c>
    </row>
    <row r="29" spans="3:7" x14ac:dyDescent="0.35">
      <c r="C29" s="129" t="s">
        <v>186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Analisis Costo Digital Factura</vt:lpstr>
      <vt:lpstr>Analisis Costo Digital Comprob</vt:lpstr>
      <vt:lpstr>Analisis Costo Digital Liqui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2018-02-08T21:58:46Z</dcterms:modified>
</cp:coreProperties>
</file>