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Veronica\Equadis\"/>
    </mc:Choice>
  </mc:AlternateContent>
  <xr:revisionPtr revIDLastSave="0" documentId="8_{BF0575BB-87AC-43AA-9E1F-0912EE5A0A87}" xr6:coauthVersionLast="28" xr6:coauthVersionMax="28" xr10:uidLastSave="{00000000-0000-0000-0000-000000000000}"/>
  <bookViews>
    <workbookView xWindow="0" yWindow="0" windowWidth="19200" windowHeight="6360" tabRatio="733" xr2:uid="{00000000-000D-0000-FFFF-FFFF00000000}"/>
  </bookViews>
  <sheets>
    <sheet name="Analisis Costo Total" sheetId="22" r:id="rId1"/>
    <sheet name="Analisis Costo Nomina Personal" sheetId="14" r:id="rId2"/>
    <sheet name="Analisis Costo Roles de Pago" sheetId="20" r:id="rId3"/>
    <sheet name="Analisis Costo Area Contable" sheetId="21" r:id="rId4"/>
  </sheets>
  <calcPr calcId="171027"/>
</workbook>
</file>

<file path=xl/calcChain.xml><?xml version="1.0" encoding="utf-8"?>
<calcChain xmlns="http://schemas.openxmlformats.org/spreadsheetml/2006/main">
  <c r="N70" i="22" l="1"/>
  <c r="N74" i="22" s="1"/>
  <c r="M27" i="22" s="1"/>
  <c r="N53" i="22"/>
  <c r="N52" i="22"/>
  <c r="N46" i="22"/>
  <c r="N55" i="22" s="1"/>
  <c r="M26" i="22" s="1"/>
  <c r="M29" i="22" s="1"/>
  <c r="H40" i="22"/>
  <c r="V37" i="22"/>
  <c r="V36" i="22"/>
  <c r="H36" i="22"/>
  <c r="H42" i="22" s="1"/>
  <c r="H46" i="22" s="1"/>
  <c r="V35" i="22"/>
  <c r="V34" i="22"/>
  <c r="V33" i="22"/>
  <c r="V38" i="22" s="1"/>
  <c r="L33" i="22"/>
  <c r="U25" i="22"/>
  <c r="Q25" i="22"/>
  <c r="M21" i="22"/>
  <c r="AC20" i="22"/>
  <c r="M18" i="22"/>
  <c r="AC17" i="22"/>
  <c r="M15" i="22"/>
  <c r="Q14" i="22"/>
  <c r="M33" i="22" s="1"/>
  <c r="Q32" i="22" s="1"/>
  <c r="V5" i="22"/>
  <c r="M6" i="22" s="1"/>
  <c r="Q4" i="22"/>
  <c r="Q3" i="22"/>
  <c r="M3" i="22"/>
  <c r="Y2" i="22"/>
  <c r="X2" i="22"/>
  <c r="W5" i="22" s="1"/>
  <c r="X5" i="22" l="1"/>
  <c r="H47" i="22"/>
  <c r="H48" i="22"/>
  <c r="H49" i="22" s="1"/>
  <c r="H51" i="22" s="1"/>
  <c r="C15" i="22" s="1"/>
  <c r="Q31" i="22"/>
  <c r="V39" i="22"/>
  <c r="V40" i="22" s="1"/>
  <c r="M5" i="22"/>
  <c r="M7" i="22"/>
  <c r="M10" i="22" s="1"/>
  <c r="M12" i="22" s="1"/>
  <c r="M22" i="22" s="1"/>
  <c r="H15" i="21"/>
  <c r="Q30" i="22" l="1"/>
  <c r="M32" i="22"/>
  <c r="M34" i="22" s="1"/>
  <c r="E15" i="22"/>
  <c r="F15" i="22" s="1"/>
  <c r="F17" i="22" s="1"/>
  <c r="H40" i="14"/>
  <c r="F18" i="22" l="1"/>
  <c r="F19" i="22" s="1"/>
  <c r="Q18" i="22"/>
  <c r="Q33" i="22" s="1"/>
  <c r="Q35" i="22" s="1"/>
  <c r="N70" i="21"/>
  <c r="N74" i="21" s="1"/>
  <c r="M27" i="21" s="1"/>
  <c r="N53" i="21"/>
  <c r="N52" i="21"/>
  <c r="N46" i="21"/>
  <c r="H40" i="21"/>
  <c r="V37" i="21"/>
  <c r="V36" i="21"/>
  <c r="H36" i="21"/>
  <c r="V35" i="21"/>
  <c r="V34" i="21"/>
  <c r="V33" i="21"/>
  <c r="L33" i="21"/>
  <c r="U25" i="21"/>
  <c r="Q25" i="21"/>
  <c r="M21" i="21"/>
  <c r="AC20" i="21"/>
  <c r="M18" i="21"/>
  <c r="AC17" i="21"/>
  <c r="M15" i="21"/>
  <c r="V5" i="21"/>
  <c r="M6" i="21" s="1"/>
  <c r="Q4" i="21"/>
  <c r="Q3" i="21"/>
  <c r="M3" i="21"/>
  <c r="Y2" i="21"/>
  <c r="X2" i="21"/>
  <c r="W5" i="21" s="1"/>
  <c r="N70" i="20"/>
  <c r="N74" i="20" s="1"/>
  <c r="M27" i="20" s="1"/>
  <c r="N53" i="20"/>
  <c r="N52" i="20"/>
  <c r="N46" i="20"/>
  <c r="N55" i="20" s="1"/>
  <c r="M26" i="20" s="1"/>
  <c r="H40" i="20"/>
  <c r="V37" i="20"/>
  <c r="V36" i="20"/>
  <c r="H36" i="20"/>
  <c r="V35" i="20"/>
  <c r="V34" i="20"/>
  <c r="V33" i="20"/>
  <c r="L33" i="20"/>
  <c r="U25" i="20"/>
  <c r="Q25" i="20"/>
  <c r="M21" i="20"/>
  <c r="AC20" i="20"/>
  <c r="M18" i="20"/>
  <c r="AC17" i="20"/>
  <c r="M15" i="20"/>
  <c r="V5" i="20"/>
  <c r="M6" i="20" s="1"/>
  <c r="Q4" i="20"/>
  <c r="Q3" i="20"/>
  <c r="M3" i="20"/>
  <c r="Y2" i="20"/>
  <c r="X2" i="20"/>
  <c r="W5" i="20" s="1"/>
  <c r="M37" i="22" l="1"/>
  <c r="H42" i="21"/>
  <c r="H46" i="21" s="1"/>
  <c r="N55" i="21"/>
  <c r="M26" i="21" s="1"/>
  <c r="M29" i="21" s="1"/>
  <c r="Q31" i="21" s="1"/>
  <c r="V38" i="20"/>
  <c r="Q14" i="20"/>
  <c r="M33" i="20" s="1"/>
  <c r="Q32" i="20" s="1"/>
  <c r="V38" i="21"/>
  <c r="Q14" i="21"/>
  <c r="M33" i="21" s="1"/>
  <c r="Q32" i="21" s="1"/>
  <c r="H42" i="20"/>
  <c r="H46" i="20" s="1"/>
  <c r="H47" i="20" s="1"/>
  <c r="M29" i="20"/>
  <c r="Q31" i="20" s="1"/>
  <c r="H47" i="21"/>
  <c r="H48" i="21"/>
  <c r="H49" i="21" s="1"/>
  <c r="H51" i="21" s="1"/>
  <c r="C15" i="21" s="1"/>
  <c r="V39" i="21"/>
  <c r="V40" i="21" s="1"/>
  <c r="M5" i="21"/>
  <c r="M7" i="21"/>
  <c r="M10" i="21" s="1"/>
  <c r="X5" i="21"/>
  <c r="X5" i="20"/>
  <c r="H48" i="20"/>
  <c r="H49" i="20" s="1"/>
  <c r="H51" i="20" s="1"/>
  <c r="C15" i="20" s="1"/>
  <c r="V39" i="20"/>
  <c r="V40" i="20" s="1"/>
  <c r="M5" i="20"/>
  <c r="M7" i="20" s="1"/>
  <c r="M10" i="20" s="1"/>
  <c r="M41" i="22" l="1"/>
  <c r="M38" i="22"/>
  <c r="Q23" i="22" s="1"/>
  <c r="Q42" i="22" s="1"/>
  <c r="E15" i="21"/>
  <c r="F15" i="21" s="1"/>
  <c r="F17" i="21" s="1"/>
  <c r="M12" i="21"/>
  <c r="M22" i="21" s="1"/>
  <c r="M12" i="20"/>
  <c r="M22" i="20" s="1"/>
  <c r="Q30" i="20" s="1"/>
  <c r="E15" i="20"/>
  <c r="F15" i="20" s="1"/>
  <c r="F17" i="20" s="1"/>
  <c r="Q45" i="22" l="1"/>
  <c r="Q44" i="22"/>
  <c r="M42" i="22"/>
  <c r="E7" i="22" s="1"/>
  <c r="F7" i="22" s="1"/>
  <c r="M32" i="20"/>
  <c r="M34" i="20" s="1"/>
  <c r="Q18" i="20" s="1"/>
  <c r="Q33" i="20" s="1"/>
  <c r="Q35" i="20" s="1"/>
  <c r="F18" i="21"/>
  <c r="F19" i="21" s="1"/>
  <c r="Q30" i="21"/>
  <c r="M32" i="21"/>
  <c r="M34" i="21" s="1"/>
  <c r="F18" i="20"/>
  <c r="F19" i="20" s="1"/>
  <c r="V5" i="14"/>
  <c r="M6" i="14" s="1"/>
  <c r="X2" i="14"/>
  <c r="W5" i="14" s="1"/>
  <c r="Q37" i="22" l="1"/>
  <c r="Q39" i="22" s="1"/>
  <c r="Q47" i="22" s="1"/>
  <c r="F9" i="22"/>
  <c r="Q18" i="21"/>
  <c r="Q33" i="21" s="1"/>
  <c r="Q35" i="21" s="1"/>
  <c r="M37" i="20"/>
  <c r="M41" i="20" s="1"/>
  <c r="F10" i="22" l="1"/>
  <c r="F11" i="22" s="1"/>
  <c r="M37" i="21"/>
  <c r="M38" i="21" s="1"/>
  <c r="M42" i="21" s="1"/>
  <c r="E7" i="21" s="1"/>
  <c r="F7" i="21" s="1"/>
  <c r="M38" i="20"/>
  <c r="M42" i="20" s="1"/>
  <c r="E7" i="20" s="1"/>
  <c r="F7" i="20" s="1"/>
  <c r="Q37" i="20" s="1"/>
  <c r="Q39" i="20" s="1"/>
  <c r="M41" i="21" l="1"/>
  <c r="Q23" i="21"/>
  <c r="Q42" i="21" s="1"/>
  <c r="Q45" i="21" s="1"/>
  <c r="Q37" i="21"/>
  <c r="Q39" i="21" s="1"/>
  <c r="F9" i="21"/>
  <c r="F9" i="20"/>
  <c r="F10" i="20" s="1"/>
  <c r="Q23" i="20"/>
  <c r="Q42" i="20" s="1"/>
  <c r="Q47" i="21" l="1"/>
  <c r="Q44" i="21"/>
  <c r="F10" i="21"/>
  <c r="F11" i="21" s="1"/>
  <c r="F11" i="20"/>
  <c r="Q45" i="20"/>
  <c r="Q44" i="20"/>
  <c r="Q47" i="20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N53" i="14" l="1"/>
  <c r="N52" i="14"/>
  <c r="N46" i="14"/>
  <c r="N55" i="14" l="1"/>
  <c r="M26" i="14" s="1"/>
  <c r="M29" i="14" s="1"/>
  <c r="M32" i="14" s="1"/>
  <c r="Q31" i="14" l="1"/>
  <c r="H36" i="14"/>
  <c r="H42" i="14" s="1"/>
  <c r="H46" i="14" s="1"/>
  <c r="H48" i="14" l="1"/>
  <c r="H49" i="14" s="1"/>
  <c r="H51" i="14" s="1"/>
  <c r="H47" i="14"/>
  <c r="Y2" i="14"/>
  <c r="C15" i="14" l="1"/>
  <c r="E15" i="14" s="1"/>
  <c r="F15" i="14" s="1"/>
  <c r="F17" i="14" s="1"/>
  <c r="F18" i="14" s="1"/>
  <c r="Q25" i="14"/>
  <c r="AC20" i="14"/>
  <c r="U25" i="14"/>
  <c r="AC17" i="14"/>
  <c r="L33" i="14"/>
  <c r="F19" i="14" l="1"/>
  <c r="X5" i="14"/>
  <c r="Q14" i="14" s="1"/>
  <c r="M33" i="14" s="1"/>
  <c r="Q32" i="14" s="1"/>
  <c r="M34" i="14" l="1"/>
  <c r="Q18" i="14" l="1"/>
  <c r="M37" i="14" s="1"/>
  <c r="M41" i="14" l="1"/>
  <c r="M38" i="14"/>
  <c r="Q23" i="14" s="1"/>
  <c r="Q42" i="14" s="1"/>
  <c r="Q33" i="14"/>
  <c r="Q35" i="14" s="1"/>
  <c r="Q45" i="14" l="1"/>
  <c r="Q44" i="14"/>
  <c r="M42" i="14"/>
  <c r="E7" i="14" s="1"/>
  <c r="F7" i="14" s="1"/>
  <c r="F9" i="14" s="1"/>
  <c r="Q37" i="14" l="1"/>
  <c r="Q39" i="14" s="1"/>
  <c r="Q47" i="14" s="1"/>
  <c r="F10" i="14"/>
  <c r="F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743C46DD-87C5-458E-B074-B1403E571E8C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836D59C2-9436-47E7-BDEC-C49F0D38E2B1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2A748DE1-73F8-48AB-8C36-27DD60C49826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C0EA6586-4B5C-4C9E-B315-92BC65B92A09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A38B61F9-E233-45EF-A33E-DD312C3879B6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50994C50-9EC7-4179-A134-080220CDC944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<sst xmlns="http://schemas.openxmlformats.org/spreadsheetml/2006/main" count="1024" uniqueCount="169">
  <si>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</si>
  <si>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</si>
  <si>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</si>
  <si>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</si>
  <si>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</si>
  <si>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</si>
  <si>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</si>
  <si>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</si>
  <si>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</si>
  <si>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</si>
  <si>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</si>
  <si>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</si>
  <si>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</si>
  <si>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</si>
  <si>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</si>
  <si>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</si>
  <si>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</si>
  <si>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</si>
  <si>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</si>
  <si>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</si>
  <si>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</si>
  <si>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</si>
  <si>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</si>
  <si>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</si>
  <si>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</si>
  <si>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</si>
  <si>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</si>
  <si>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</si>
  <si>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</si>
  <si>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</si>
  <si>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</si>
  <si>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</si>
  <si>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</si>
  <si>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</si>
  <si>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</si>
  <si>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</si>
  <si>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</si>
  <si>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</si>
  <si>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</si>
  <si>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Cant.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</si>
  <si>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</si>
  <si>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</si>
  <si>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</si>
  <si>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</si>
  <si>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</si>
  <si>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</si>
  <si>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</si>
  <si>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</si>
  <si>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</si>
  <si>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</si>
  <si>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</si>
  <si>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</si>
  <si>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</si>
  <si>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</si>
  <si>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</si>
  <si>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</si>
  <si>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</si>
  <si>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</si>
  <si>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</si>
  <si>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</si>
  <si>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</si>
  <si>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</si>
  <si>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</si>
  <si>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</si>
  <si>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</si>
  <si>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</si>
  <si>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</si>
  <si>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</si>
  <si>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</si>
  <si>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</si>
  <si>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</si>
  <si>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</si>
  <si>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</si>
  <si>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</si>
  <si>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</si>
  <si>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</si>
  <si>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</si>
  <si>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</si>
  <si>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</si>
  <si>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</si>
  <si>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</si>
  <si>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</si>
  <si>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</si>
  <si>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</si>
  <si>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</si>
  <si>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</si>
  <si>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</si>
  <si>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</si>
  <si>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</si>
  <si>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</si>
  <si>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</si>
  <si>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</si>
  <si>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</si>
  <si>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</si>
  <si>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</si>
  <si>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</si>
  <si>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</si>
  <si>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</si>
  <si>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</si>
  <si>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</si>
  <si>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</si>
  <si>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</si>
  <si>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</si>
  <si>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</si>
  <si>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</si>
  <si>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</si>
  <si>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</si>
  <si>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</si>
  <si>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</si>
  <si>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</si>
  <si>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</si>
  <si>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</si>
  <si>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</si>
  <si>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</si>
  <si>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</si>
  <si>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</si>
  <si>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</si>
  <si>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</si>
  <si>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</si>
  <si>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</si>
  <si>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</si>
  <si>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</si>
  <si>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</si>
  <si>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</si>
  <si>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</si>
  <si>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</si>
  <si>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</si>
  <si>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</si>
  <si>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</si>
  <si>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>OPERARIOS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</si>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</sst>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0.000"/>
    <numFmt numFmtId="174" formatCode="_-[$$-2C0A]\ * #,##0.00_-;\-[$$-2C0A]\ * #,##0.00_-;_-[$$-2C0A]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6">
    <xf numFmtId="0" fontId="0" fillId="0" borderId="0" xfId="0"/>
    <xf numFmtId="0" fontId="6" fillId="2" borderId="0" xfId="0" applyFont="1" applyFill="1"/>
    <xf numFmtId="0" fontId="7" fillId="10" borderId="1" xfId="0" applyFont="1" applyFill="1" applyBorder="1"/>
    <xf numFmtId="0" fontId="7" fillId="2" borderId="11" xfId="0" applyFont="1" applyFill="1" applyBorder="1"/>
    <xf numFmtId="0" fontId="7" fillId="2" borderId="0" xfId="0" applyFont="1" applyFill="1" applyBorder="1"/>
    <xf numFmtId="0" fontId="8" fillId="4" borderId="0" xfId="0" applyFont="1" applyFill="1" applyBorder="1"/>
    <xf numFmtId="166" fontId="8" fillId="0" borderId="0" xfId="1" applyNumberFormat="1" applyFont="1" applyFill="1" applyBorder="1" applyAlignment="1">
      <alignment horizontal="center"/>
    </xf>
    <xf numFmtId="0" fontId="6" fillId="2" borderId="1" xfId="0" applyFont="1" applyFill="1" applyBorder="1"/>
    <xf numFmtId="168" fontId="6" fillId="2" borderId="0" xfId="0" applyNumberFormat="1" applyFont="1" applyFill="1"/>
    <xf numFmtId="0" fontId="7" fillId="2" borderId="15" xfId="0" applyFont="1" applyFill="1" applyBorder="1"/>
    <xf numFmtId="168" fontId="7" fillId="2" borderId="19" xfId="0" applyNumberFormat="1" applyFont="1" applyFill="1" applyBorder="1"/>
    <xf numFmtId="0" fontId="6" fillId="0" borderId="15" xfId="0" applyFont="1" applyFill="1" applyBorder="1"/>
    <xf numFmtId="168" fontId="6" fillId="0" borderId="23" xfId="0" applyNumberFormat="1" applyFont="1" applyFill="1" applyBorder="1" applyAlignment="1">
      <alignment horizontal="right"/>
    </xf>
    <xf numFmtId="44" fontId="6" fillId="2" borderId="0" xfId="0" applyNumberFormat="1" applyFont="1" applyFill="1"/>
    <xf numFmtId="0" fontId="7" fillId="2" borderId="16" xfId="0" applyFont="1" applyFill="1" applyBorder="1"/>
    <xf numFmtId="168" fontId="7" fillId="2" borderId="30" xfId="0" applyNumberFormat="1" applyFont="1" applyFill="1" applyBorder="1"/>
    <xf numFmtId="0" fontId="6" fillId="0" borderId="16" xfId="0" applyFont="1" applyFill="1" applyBorder="1"/>
    <xf numFmtId="168" fontId="6" fillId="0" borderId="30" xfId="0" applyNumberFormat="1" applyFont="1" applyFill="1" applyBorder="1"/>
    <xf numFmtId="0" fontId="6" fillId="2" borderId="0" xfId="0" applyFont="1" applyFill="1" applyBorder="1"/>
    <xf numFmtId="0" fontId="7" fillId="0" borderId="16" xfId="0" applyFont="1" applyFill="1" applyBorder="1"/>
    <xf numFmtId="168" fontId="7" fillId="0" borderId="30" xfId="0" applyNumberFormat="1" applyFont="1" applyFill="1" applyBorder="1"/>
    <xf numFmtId="1" fontId="6" fillId="2" borderId="1" xfId="0" applyNumberFormat="1" applyFont="1" applyFill="1" applyBorder="1"/>
    <xf numFmtId="0" fontId="8" fillId="3" borderId="11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5" xfId="0" applyFont="1" applyFill="1" applyBorder="1"/>
    <xf numFmtId="167" fontId="6" fillId="2" borderId="0" xfId="0" applyNumberFormat="1" applyFont="1" applyFill="1"/>
    <xf numFmtId="0" fontId="10" fillId="4" borderId="25" xfId="0" applyFont="1" applyFill="1" applyBorder="1" applyAlignment="1">
      <alignment horizontal="center" wrapText="1"/>
    </xf>
    <xf numFmtId="0" fontId="6" fillId="0" borderId="25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170" fontId="10" fillId="4" borderId="27" xfId="0" applyNumberFormat="1" applyFont="1" applyFill="1" applyBorder="1" applyAlignment="1">
      <alignment horizontal="center"/>
    </xf>
    <xf numFmtId="171" fontId="10" fillId="4" borderId="5" xfId="1" applyNumberFormat="1" applyFont="1" applyFill="1" applyBorder="1" applyAlignment="1">
      <alignment horizontal="center"/>
    </xf>
    <xf numFmtId="0" fontId="6" fillId="0" borderId="17" xfId="0" applyFont="1" applyFill="1" applyBorder="1"/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171" fontId="10" fillId="4" borderId="7" xfId="0" applyNumberFormat="1" applyFont="1" applyFill="1" applyBorder="1" applyAlignment="1">
      <alignment horizontal="center"/>
    </xf>
    <xf numFmtId="171" fontId="10" fillId="4" borderId="7" xfId="1" applyNumberFormat="1" applyFont="1" applyFill="1" applyBorder="1" applyAlignment="1">
      <alignment horizontal="center"/>
    </xf>
    <xf numFmtId="0" fontId="10" fillId="4" borderId="0" xfId="0" applyFont="1" applyFill="1"/>
    <xf numFmtId="171" fontId="8" fillId="4" borderId="4" xfId="0" applyNumberFormat="1" applyFont="1" applyFill="1" applyBorder="1"/>
    <xf numFmtId="171" fontId="10" fillId="4" borderId="26" xfId="1" applyNumberFormat="1" applyFont="1" applyFill="1" applyBorder="1" applyAlignment="1">
      <alignment horizontal="center"/>
    </xf>
    <xf numFmtId="171" fontId="10" fillId="4" borderId="29" xfId="1" applyNumberFormat="1" applyFont="1" applyFill="1" applyBorder="1" applyAlignment="1">
      <alignment horizontal="center"/>
    </xf>
    <xf numFmtId="0" fontId="6" fillId="17" borderId="15" xfId="0" applyFont="1" applyFill="1" applyBorder="1"/>
    <xf numFmtId="0" fontId="6" fillId="0" borderId="0" xfId="0" applyFont="1" applyFill="1" applyBorder="1"/>
    <xf numFmtId="0" fontId="7" fillId="11" borderId="1" xfId="0" applyFont="1" applyFill="1" applyBorder="1"/>
    <xf numFmtId="0" fontId="8" fillId="4" borderId="0" xfId="0" applyFont="1" applyFill="1"/>
    <xf numFmtId="171" fontId="8" fillId="4" borderId="2" xfId="0" applyNumberFormat="1" applyFont="1" applyFill="1" applyBorder="1"/>
    <xf numFmtId="171" fontId="8" fillId="3" borderId="11" xfId="1" applyNumberFormat="1" applyFont="1" applyFill="1" applyBorder="1" applyAlignment="1">
      <alignment horizontal="center"/>
    </xf>
    <xf numFmtId="0" fontId="6" fillId="17" borderId="16" xfId="0" applyFont="1" applyFill="1" applyBorder="1"/>
    <xf numFmtId="166" fontId="6" fillId="0" borderId="15" xfId="1" applyFont="1" applyFill="1" applyBorder="1" applyAlignment="1">
      <alignment horizontal="center"/>
    </xf>
    <xf numFmtId="0" fontId="7" fillId="2" borderId="1" xfId="0" applyFont="1" applyFill="1" applyBorder="1"/>
    <xf numFmtId="0" fontId="6" fillId="17" borderId="17" xfId="0" applyFont="1" applyFill="1" applyBorder="1" applyAlignment="1">
      <alignment horizontal="right"/>
    </xf>
    <xf numFmtId="0" fontId="6" fillId="0" borderId="16" xfId="0" applyFont="1" applyBorder="1"/>
    <xf numFmtId="166" fontId="6" fillId="0" borderId="16" xfId="1" applyFont="1" applyFill="1" applyBorder="1" applyAlignment="1">
      <alignment horizontal="center"/>
    </xf>
    <xf numFmtId="0" fontId="6" fillId="15" borderId="15" xfId="0" applyFont="1" applyFill="1" applyBorder="1"/>
    <xf numFmtId="0" fontId="6" fillId="15" borderId="16" xfId="0" applyFont="1" applyFill="1" applyBorder="1"/>
    <xf numFmtId="165" fontId="6" fillId="0" borderId="0" xfId="5" applyNumberFormat="1" applyFont="1" applyFill="1" applyBorder="1"/>
    <xf numFmtId="0" fontId="6" fillId="2" borderId="0" xfId="0" applyFont="1" applyFill="1" applyBorder="1" applyAlignment="1">
      <alignment horizontal="right"/>
    </xf>
    <xf numFmtId="168" fontId="7" fillId="8" borderId="11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4" fontId="10" fillId="4" borderId="25" xfId="0" applyNumberFormat="1" applyFont="1" applyFill="1" applyBorder="1" applyAlignment="1">
      <alignment horizontal="center"/>
    </xf>
    <xf numFmtId="3" fontId="10" fillId="4" borderId="27" xfId="0" applyNumberFormat="1" applyFont="1" applyFill="1" applyBorder="1" applyAlignment="1">
      <alignment horizontal="center"/>
    </xf>
    <xf numFmtId="172" fontId="10" fillId="0" borderId="27" xfId="0" applyNumberFormat="1" applyFont="1" applyBorder="1"/>
    <xf numFmtId="0" fontId="6" fillId="15" borderId="17" xfId="0" applyFont="1" applyFill="1" applyBorder="1" applyAlignment="1">
      <alignment horizontal="right"/>
    </xf>
    <xf numFmtId="171" fontId="10" fillId="4" borderId="12" xfId="1" applyNumberFormat="1" applyFont="1" applyFill="1" applyBorder="1" applyAlignment="1">
      <alignment horizontal="center"/>
    </xf>
    <xf numFmtId="0" fontId="6" fillId="16" borderId="15" xfId="0" applyFont="1" applyFill="1" applyBorder="1"/>
    <xf numFmtId="0" fontId="11" fillId="10" borderId="1" xfId="0" applyFont="1" applyFill="1" applyBorder="1"/>
    <xf numFmtId="0" fontId="6" fillId="16" borderId="16" xfId="0" applyFont="1" applyFill="1" applyBorder="1"/>
    <xf numFmtId="0" fontId="6" fillId="2" borderId="15" xfId="0" applyFont="1" applyFill="1" applyBorder="1"/>
    <xf numFmtId="9" fontId="6" fillId="2" borderId="19" xfId="0" applyNumberFormat="1" applyFont="1" applyFill="1" applyBorder="1"/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16" borderId="17" xfId="0" applyFont="1" applyFill="1" applyBorder="1" applyAlignment="1">
      <alignment horizontal="right"/>
    </xf>
    <xf numFmtId="0" fontId="6" fillId="5" borderId="17" xfId="0" applyFont="1" applyFill="1" applyBorder="1"/>
    <xf numFmtId="2" fontId="6" fillId="5" borderId="24" xfId="0" applyNumberFormat="1" applyFont="1" applyFill="1" applyBorder="1"/>
    <xf numFmtId="0" fontId="6" fillId="0" borderId="17" xfId="0" applyFont="1" applyBorder="1"/>
    <xf numFmtId="166" fontId="6" fillId="0" borderId="17" xfId="1" applyFont="1" applyFill="1" applyBorder="1" applyAlignment="1">
      <alignment horizontal="center"/>
    </xf>
    <xf numFmtId="0" fontId="6" fillId="14" borderId="15" xfId="0" applyFont="1" applyFill="1" applyBorder="1"/>
    <xf numFmtId="0" fontId="10" fillId="2" borderId="0" xfId="0" applyFont="1" applyFill="1" applyBorder="1"/>
    <xf numFmtId="171" fontId="8" fillId="2" borderId="0" xfId="0" applyNumberFormat="1" applyFont="1" applyFill="1" applyBorder="1"/>
    <xf numFmtId="171" fontId="10" fillId="2" borderId="0" xfId="1" applyNumberFormat="1" applyFont="1" applyFill="1" applyBorder="1" applyAlignment="1">
      <alignment horizontal="center"/>
    </xf>
    <xf numFmtId="0" fontId="6" fillId="14" borderId="16" xfId="0" applyFont="1" applyFill="1" applyBorder="1"/>
    <xf numFmtId="0" fontId="6" fillId="14" borderId="17" xfId="0" applyFont="1" applyFill="1" applyBorder="1" applyAlignment="1">
      <alignment horizontal="right"/>
    </xf>
    <xf numFmtId="0" fontId="12" fillId="5" borderId="1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1" fontId="12" fillId="5" borderId="1" xfId="1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wrapText="1"/>
    </xf>
    <xf numFmtId="3" fontId="7" fillId="5" borderId="10" xfId="0" applyNumberFormat="1" applyFont="1" applyFill="1" applyBorder="1"/>
    <xf numFmtId="168" fontId="6" fillId="8" borderId="1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171" fontId="10" fillId="0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8" fontId="6" fillId="0" borderId="15" xfId="4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44" fontId="6" fillId="0" borderId="16" xfId="0" applyNumberFormat="1" applyFont="1" applyFill="1" applyBorder="1" applyAlignment="1">
      <alignment horizontal="center"/>
    </xf>
    <xf numFmtId="9" fontId="7" fillId="5" borderId="10" xfId="0" applyNumberFormat="1" applyFont="1" applyFill="1" applyBorder="1"/>
    <xf numFmtId="0" fontId="6" fillId="0" borderId="17" xfId="0" applyFont="1" applyFill="1" applyBorder="1" applyAlignment="1">
      <alignment horizontal="center"/>
    </xf>
    <xf numFmtId="168" fontId="6" fillId="2" borderId="15" xfId="0" applyNumberFormat="1" applyFont="1" applyFill="1" applyBorder="1"/>
    <xf numFmtId="0" fontId="6" fillId="2" borderId="14" xfId="0" applyFont="1" applyFill="1" applyBorder="1"/>
    <xf numFmtId="168" fontId="6" fillId="2" borderId="31" xfId="0" applyNumberFormat="1" applyFont="1" applyFill="1" applyBorder="1"/>
    <xf numFmtId="0" fontId="10" fillId="0" borderId="0" xfId="0" applyFont="1" applyFill="1" applyBorder="1" applyAlignment="1">
      <alignment horizontal="center"/>
    </xf>
    <xf numFmtId="1" fontId="7" fillId="12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left"/>
    </xf>
    <xf numFmtId="0" fontId="7" fillId="0" borderId="1" xfId="0" applyFont="1" applyFill="1" applyBorder="1"/>
    <xf numFmtId="0" fontId="6" fillId="5" borderId="1" xfId="0" applyFont="1" applyFill="1" applyBorder="1" applyAlignment="1">
      <alignment horizontal="left"/>
    </xf>
    <xf numFmtId="9" fontId="6" fillId="2" borderId="0" xfId="5" applyFont="1" applyFill="1"/>
    <xf numFmtId="168" fontId="6" fillId="2" borderId="17" xfId="0" applyNumberFormat="1" applyFont="1" applyFill="1" applyBorder="1"/>
    <xf numFmtId="0" fontId="7" fillId="5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2" fontId="9" fillId="2" borderId="1" xfId="0" applyNumberFormat="1" applyFont="1" applyFill="1" applyBorder="1" applyAlignment="1">
      <alignment horizontal="left"/>
    </xf>
    <xf numFmtId="0" fontId="6" fillId="5" borderId="2" xfId="0" applyFont="1" applyFill="1" applyBorder="1"/>
    <xf numFmtId="169" fontId="6" fillId="5" borderId="11" xfId="0" applyNumberFormat="1" applyFont="1" applyFill="1" applyBorder="1"/>
    <xf numFmtId="0" fontId="6" fillId="2" borderId="21" xfId="0" applyFont="1" applyFill="1" applyBorder="1"/>
    <xf numFmtId="0" fontId="6" fillId="2" borderId="22" xfId="0" applyFont="1" applyFill="1" applyBorder="1"/>
    <xf numFmtId="9" fontId="6" fillId="2" borderId="21" xfId="0" applyNumberFormat="1" applyFont="1" applyFill="1" applyBorder="1"/>
    <xf numFmtId="0" fontId="13" fillId="13" borderId="11" xfId="0" applyFont="1" applyFill="1" applyBorder="1" applyAlignment="1">
      <alignment horizontal="center" vertical="center"/>
    </xf>
    <xf numFmtId="0" fontId="14" fillId="0" borderId="26" xfId="0" applyFont="1" applyBorder="1" applyAlignment="1">
      <alignment vertical="center"/>
    </xf>
    <xf numFmtId="2" fontId="6" fillId="2" borderId="21" xfId="0" applyNumberFormat="1" applyFont="1" applyFill="1" applyBorder="1"/>
    <xf numFmtId="0" fontId="14" fillId="0" borderId="29" xfId="0" applyFont="1" applyBorder="1" applyAlignment="1">
      <alignment vertical="center"/>
    </xf>
    <xf numFmtId="9" fontId="6" fillId="2" borderId="22" xfId="0" applyNumberFormat="1" applyFont="1" applyFill="1" applyBorder="1" applyAlignment="1">
      <alignment horizontal="left"/>
    </xf>
    <xf numFmtId="1" fontId="6" fillId="2" borderId="21" xfId="0" applyNumberFormat="1" applyFont="1" applyFill="1" applyBorder="1"/>
    <xf numFmtId="0" fontId="9" fillId="12" borderId="1" xfId="0" applyFont="1" applyFill="1" applyBorder="1"/>
    <xf numFmtId="2" fontId="9" fillId="12" borderId="21" xfId="0" applyNumberFormat="1" applyFont="1" applyFill="1" applyBorder="1"/>
    <xf numFmtId="0" fontId="9" fillId="12" borderId="22" xfId="0" applyFont="1" applyFill="1" applyBorder="1"/>
    <xf numFmtId="0" fontId="14" fillId="0" borderId="12" xfId="0" applyFont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4" fontId="6" fillId="2" borderId="11" xfId="0" applyNumberFormat="1" applyFont="1" applyFill="1" applyBorder="1"/>
    <xf numFmtId="0" fontId="6" fillId="2" borderId="29" xfId="0" applyFont="1" applyFill="1" applyBorder="1" applyAlignment="1">
      <alignment horizontal="center" vertical="center"/>
    </xf>
    <xf numFmtId="0" fontId="6" fillId="2" borderId="26" xfId="0" applyFont="1" applyFill="1" applyBorder="1"/>
    <xf numFmtId="0" fontId="6" fillId="2" borderId="26" xfId="0" applyFont="1" applyFill="1" applyBorder="1" applyAlignment="1">
      <alignment horizontal="center" vertical="center"/>
    </xf>
    <xf numFmtId="44" fontId="6" fillId="2" borderId="26" xfId="0" applyNumberFormat="1" applyFont="1" applyFill="1" applyBorder="1" applyAlignment="1">
      <alignment horizontal="center" vertical="center"/>
    </xf>
    <xf numFmtId="0" fontId="6" fillId="2" borderId="29" xfId="0" applyFont="1" applyFill="1" applyBorder="1"/>
    <xf numFmtId="44" fontId="6" fillId="2" borderId="29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/>
    <xf numFmtId="44" fontId="6" fillId="2" borderId="12" xfId="0" applyNumberFormat="1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1" fontId="6" fillId="2" borderId="11" xfId="0" applyNumberFormat="1" applyFont="1" applyFill="1" applyBorder="1"/>
    <xf numFmtId="0" fontId="9" fillId="12" borderId="11" xfId="0" applyFont="1" applyFill="1" applyBorder="1" applyAlignment="1">
      <alignment horizontal="center" vertical="center"/>
    </xf>
    <xf numFmtId="173" fontId="6" fillId="2" borderId="11" xfId="5" applyNumberFormat="1" applyFont="1" applyFill="1" applyBorder="1"/>
    <xf numFmtId="44" fontId="3" fillId="2" borderId="1" xfId="7" applyFont="1" applyFill="1" applyBorder="1"/>
    <xf numFmtId="0" fontId="8" fillId="3" borderId="3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44" fontId="6" fillId="2" borderId="26" xfId="0" applyNumberFormat="1" applyFont="1" applyFill="1" applyBorder="1" applyAlignment="1">
      <alignment horizontal="center" vertical="center"/>
    </xf>
    <xf numFmtId="44" fontId="6" fillId="2" borderId="29" xfId="0" applyNumberFormat="1" applyFont="1" applyFill="1" applyBorder="1" applyAlignment="1">
      <alignment horizontal="center" vertical="center"/>
    </xf>
    <xf numFmtId="44" fontId="6" fillId="2" borderId="12" xfId="0" applyNumberFormat="1" applyFont="1" applyFill="1" applyBorder="1" applyAlignment="1">
      <alignment horizontal="center" vertical="center"/>
    </xf>
    <xf numFmtId="0" fontId="3" fillId="2" borderId="15" xfId="0" applyFont="1" applyFill="1" applyBorder="1"/>
    <xf numFmtId="0" fontId="3" fillId="2" borderId="19" xfId="0" applyFont="1" applyFill="1" applyBorder="1" applyAlignment="1">
      <alignment horizontal="center" vertical="center"/>
    </xf>
    <xf numFmtId="168" fontId="3" fillId="2" borderId="19" xfId="0" applyNumberFormat="1" applyFont="1" applyFill="1" applyBorder="1"/>
    <xf numFmtId="0" fontId="3" fillId="2" borderId="26" xfId="0" applyFont="1" applyFill="1" applyBorder="1"/>
    <xf numFmtId="0" fontId="3" fillId="2" borderId="27" xfId="0" applyFont="1" applyFill="1" applyBorder="1" applyAlignment="1">
      <alignment horizontal="center" vertical="center"/>
    </xf>
    <xf numFmtId="168" fontId="3" fillId="2" borderId="27" xfId="0" applyNumberFormat="1" applyFont="1" applyFill="1" applyBorder="1"/>
    <xf numFmtId="0" fontId="3" fillId="2" borderId="11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4" fontId="3" fillId="2" borderId="5" xfId="0" applyNumberFormat="1" applyFont="1" applyFill="1" applyBorder="1"/>
    <xf numFmtId="0" fontId="7" fillId="0" borderId="1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168" fontId="3" fillId="9" borderId="24" xfId="0" applyNumberFormat="1" applyFont="1" applyFill="1" applyBorder="1"/>
    <xf numFmtId="0" fontId="3" fillId="2" borderId="1" xfId="0" applyFont="1" applyFill="1" applyBorder="1"/>
    <xf numFmtId="174" fontId="3" fillId="2" borderId="1" xfId="0" applyNumberFormat="1" applyFont="1" applyFill="1" applyBorder="1"/>
    <xf numFmtId="0" fontId="7" fillId="5" borderId="1" xfId="0" applyFont="1" applyFill="1" applyBorder="1"/>
    <xf numFmtId="168" fontId="7" fillId="5" borderId="1" xfId="0" applyNumberFormat="1" applyFont="1" applyFill="1" applyBorder="1"/>
    <xf numFmtId="0" fontId="7" fillId="12" borderId="0" xfId="0" applyFont="1" applyFill="1"/>
    <xf numFmtId="44" fontId="7" fillId="12" borderId="0" xfId="0" applyNumberFormat="1" applyFont="1" applyFill="1"/>
    <xf numFmtId="44" fontId="3" fillId="2" borderId="1" xfId="0" applyNumberFormat="1" applyFont="1" applyFill="1" applyBorder="1"/>
    <xf numFmtId="9" fontId="6" fillId="2" borderId="0" xfId="0" applyNumberFormat="1" applyFont="1" applyFill="1" applyAlignment="1">
      <alignment horizontal="left"/>
    </xf>
    <xf numFmtId="44" fontId="6" fillId="2" borderId="0" xfId="0" applyNumberFormat="1" applyFont="1" applyFill="1" applyBorder="1" applyAlignment="1">
      <alignment horizontal="center" vertical="center"/>
    </xf>
    <xf numFmtId="44" fontId="6" fillId="2" borderId="0" xfId="0" applyNumberFormat="1" applyFont="1" applyFill="1" applyBorder="1"/>
    <xf numFmtId="1" fontId="6" fillId="2" borderId="0" xfId="0" applyNumberFormat="1" applyFont="1" applyFill="1" applyBorder="1"/>
    <xf numFmtId="173" fontId="6" fillId="2" borderId="0" xfId="5" applyNumberFormat="1" applyFont="1" applyFill="1" applyBorder="1"/>
    <xf numFmtId="0" fontId="13" fillId="0" borderId="0" xfId="0" applyFont="1" applyFill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6" fillId="0" borderId="0" xfId="0" applyNumberFormat="1" applyFont="1" applyFill="1" applyBorder="1"/>
    <xf numFmtId="0" fontId="6" fillId="0" borderId="0" xfId="0" applyFont="1" applyFill="1"/>
    <xf numFmtId="0" fontId="9" fillId="0" borderId="0" xfId="0" applyFont="1" applyFill="1" applyBorder="1" applyAlignment="1">
      <alignment horizontal="center"/>
    </xf>
    <xf numFmtId="44" fontId="3" fillId="2" borderId="21" xfId="0" applyNumberFormat="1" applyFont="1" applyFill="1" applyBorder="1"/>
    <xf numFmtId="174" fontId="3" fillId="2" borderId="21" xfId="0" applyNumberFormat="1" applyFont="1" applyFill="1" applyBorder="1"/>
    <xf numFmtId="9" fontId="7" fillId="5" borderId="1" xfId="0" applyNumberFormat="1" applyFont="1" applyFill="1" applyBorder="1"/>
    <xf numFmtId="0" fontId="3" fillId="2" borderId="18" xfId="0" applyFont="1" applyFill="1" applyBorder="1"/>
    <xf numFmtId="0" fontId="3" fillId="2" borderId="13" xfId="0" applyFont="1" applyFill="1" applyBorder="1"/>
    <xf numFmtId="168" fontId="13" fillId="20" borderId="12" xfId="0" applyNumberFormat="1" applyFont="1" applyFill="1" applyBorder="1" applyAlignment="1">
      <alignment horizontal="center"/>
    </xf>
    <xf numFmtId="0" fontId="13" fillId="20" borderId="17" xfId="0" applyFont="1" applyFill="1" applyBorder="1"/>
    <xf numFmtId="168" fontId="13" fillId="20" borderId="24" xfId="0" applyNumberFormat="1" applyFont="1" applyFill="1" applyBorder="1"/>
    <xf numFmtId="168" fontId="6" fillId="17" borderId="15" xfId="4" applyNumberFormat="1" applyFont="1" applyFill="1" applyBorder="1" applyAlignment="1">
      <alignment horizontal="right"/>
    </xf>
    <xf numFmtId="168" fontId="6" fillId="15" borderId="15" xfId="4" applyNumberFormat="1" applyFont="1" applyFill="1" applyBorder="1" applyAlignment="1">
      <alignment horizontal="right"/>
    </xf>
    <xf numFmtId="0" fontId="6" fillId="15" borderId="16" xfId="0" applyFont="1" applyFill="1" applyBorder="1" applyAlignment="1">
      <alignment horizontal="right"/>
    </xf>
    <xf numFmtId="2" fontId="6" fillId="15" borderId="17" xfId="0" applyNumberFormat="1" applyFont="1" applyFill="1" applyBorder="1" applyAlignment="1">
      <alignment horizontal="right"/>
    </xf>
    <xf numFmtId="168" fontId="6" fillId="16" borderId="15" xfId="4" applyNumberFormat="1" applyFont="1" applyFill="1" applyBorder="1" applyAlignment="1">
      <alignment horizontal="right"/>
    </xf>
    <xf numFmtId="0" fontId="6" fillId="16" borderId="16" xfId="0" applyFont="1" applyFill="1" applyBorder="1" applyAlignment="1">
      <alignment horizontal="right"/>
    </xf>
    <xf numFmtId="168" fontId="6" fillId="14" borderId="15" xfId="4" applyNumberFormat="1" applyFont="1" applyFill="1" applyBorder="1" applyAlignment="1">
      <alignment horizontal="right"/>
    </xf>
    <xf numFmtId="0" fontId="6" fillId="14" borderId="16" xfId="0" applyFont="1" applyFill="1" applyBorder="1" applyAlignment="1">
      <alignment horizontal="right"/>
    </xf>
    <xf numFmtId="168" fontId="13" fillId="20" borderId="12" xfId="0" applyNumberFormat="1" applyFont="1" applyFill="1" applyBorder="1" applyAlignment="1">
      <alignment horizontal="right"/>
    </xf>
    <xf numFmtId="44" fontId="6" fillId="17" borderId="17" xfId="0" applyNumberFormat="1" applyFont="1" applyFill="1" applyBorder="1" applyAlignment="1">
      <alignment horizontal="right"/>
    </xf>
    <xf numFmtId="44" fontId="6" fillId="16" borderId="17" xfId="0" applyNumberFormat="1" applyFont="1" applyFill="1" applyBorder="1" applyAlignment="1">
      <alignment horizontal="right"/>
    </xf>
    <xf numFmtId="44" fontId="6" fillId="14" borderId="17" xfId="0" applyNumberFormat="1" applyFont="1" applyFill="1" applyBorder="1" applyAlignment="1">
      <alignment horizontal="right"/>
    </xf>
    <xf numFmtId="0" fontId="7" fillId="5" borderId="16" xfId="0" applyFont="1" applyFill="1" applyBorder="1" applyAlignment="1">
      <alignment horizontal="right"/>
    </xf>
    <xf numFmtId="0" fontId="9" fillId="0" borderId="0" xfId="0" applyFont="1" applyFill="1" applyBorder="1" applyAlignment="1"/>
    <xf numFmtId="44" fontId="4" fillId="6" borderId="11" xfId="0" applyNumberFormat="1" applyFont="1" applyFill="1" applyBorder="1" applyAlignment="1"/>
    <xf numFmtId="44" fontId="13" fillId="20" borderId="24" xfId="0" applyNumberFormat="1" applyFont="1" applyFill="1" applyBorder="1"/>
    <xf numFmtId="0" fontId="3" fillId="2" borderId="32" xfId="0" applyFont="1" applyFill="1" applyBorder="1"/>
    <xf numFmtId="168" fontId="3" fillId="2" borderId="32" xfId="0" applyNumberFormat="1" applyFont="1" applyFill="1" applyBorder="1"/>
    <xf numFmtId="0" fontId="3" fillId="0" borderId="0" xfId="0" applyFont="1" applyFill="1" applyBorder="1"/>
    <xf numFmtId="44" fontId="3" fillId="0" borderId="0" xfId="0" applyNumberFormat="1" applyFont="1" applyFill="1" applyBorder="1"/>
    <xf numFmtId="0" fontId="7" fillId="19" borderId="0" xfId="0" applyFont="1" applyFill="1" applyBorder="1"/>
    <xf numFmtId="44" fontId="7" fillId="19" borderId="0" xfId="0" applyNumberFormat="1" applyFont="1" applyFill="1" applyBorder="1"/>
    <xf numFmtId="0" fontId="16" fillId="16" borderId="0" xfId="0" applyFont="1" applyFill="1"/>
    <xf numFmtId="44" fontId="16" fillId="16" borderId="0" xfId="0" applyNumberFormat="1" applyFont="1" applyFill="1"/>
    <xf numFmtId="0" fontId="3" fillId="5" borderId="1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44" fontId="6" fillId="2" borderId="26" xfId="0" applyNumberFormat="1" applyFont="1" applyFill="1" applyBorder="1" applyAlignment="1">
      <alignment horizontal="center" vertical="center"/>
    </xf>
    <xf numFmtId="44" fontId="6" fillId="2" borderId="29" xfId="0" applyNumberFormat="1" applyFont="1" applyFill="1" applyBorder="1" applyAlignment="1">
      <alignment horizontal="center" vertical="center"/>
    </xf>
    <xf numFmtId="44" fontId="6" fillId="2" borderId="1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4" fontId="6" fillId="2" borderId="0" xfId="0" applyNumberFormat="1" applyFont="1" applyFill="1"/>
    <xf numFmtId="0" fontId="9" fillId="7" borderId="25" xfId="0" applyFont="1" applyFill="1" applyBorder="1" applyAlignment="1">
      <alignment horizontal="center"/>
    </xf>
    <xf numFmtId="0" fontId="9" fillId="7" borderId="28" xfId="0" applyFont="1" applyFill="1" applyBorder="1" applyAlignment="1">
      <alignment horizontal="center"/>
    </xf>
    <xf numFmtId="0" fontId="9" fillId="7" borderId="27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3" fillId="20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44" fontId="6" fillId="2" borderId="26" xfId="0" applyNumberFormat="1" applyFont="1" applyFill="1" applyBorder="1" applyAlignment="1">
      <alignment horizontal="center" vertical="center"/>
    </xf>
    <xf numFmtId="44" fontId="6" fillId="2" borderId="29" xfId="0" applyNumberFormat="1" applyFont="1" applyFill="1" applyBorder="1" applyAlignment="1">
      <alignment horizontal="center" vertical="center"/>
    </xf>
    <xf numFmtId="44" fontId="6" fillId="2" borderId="12" xfId="0" applyNumberFormat="1" applyFont="1" applyFill="1" applyBorder="1" applyAlignment="1">
      <alignment horizontal="center" vertical="center"/>
    </xf>
    <xf numFmtId="0" fontId="13" fillId="18" borderId="2" xfId="0" applyFont="1" applyFill="1" applyBorder="1" applyAlignment="1">
      <alignment horizontal="center"/>
    </xf>
    <xf numFmtId="0" fontId="13" fillId="18" borderId="3" xfId="0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0" fontId="9" fillId="6" borderId="27" xfId="0" applyFont="1" applyFill="1" applyBorder="1" applyAlignment="1">
      <alignment horizontal="center"/>
    </xf>
    <xf numFmtId="0" fontId="4" fillId="6" borderId="28" xfId="0" applyFont="1" applyFill="1" applyBorder="1" applyAlignment="1">
      <alignment horizontal="center"/>
    </xf>
    <xf numFmtId="0" fontId="4" fillId="6" borderId="27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15" fillId="20" borderId="25" xfId="0" applyFont="1" applyFill="1" applyBorder="1" applyAlignment="1">
      <alignment horizontal="center"/>
    </xf>
    <xf numFmtId="0" fontId="15" fillId="20" borderId="27" xfId="0" applyFont="1" applyFill="1" applyBorder="1" applyAlignment="1">
      <alignment horizontal="center"/>
    </xf>
    <xf numFmtId="0" fontId="9" fillId="6" borderId="25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15" fillId="20" borderId="2" xfId="0" applyFont="1" applyFill="1" applyBorder="1" applyAlignment="1">
      <alignment horizontal="center"/>
    </xf>
    <xf numFmtId="0" fontId="15" fillId="20" borderId="3" xfId="0" applyFont="1" applyFill="1" applyBorder="1" applyAlignment="1">
      <alignment horizontal="center"/>
    </xf>
  </cellXfs>
  <cellStyles count="8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Monétaire 2" xfId="7" xr:uid="{00000000-0005-0000-0000-000005000000}"/>
    <cellStyle name="Normal" xfId="0" builtinId="0"/>
    <cellStyle name="Pourcentage" xfId="5" builtinId="5"/>
  </cellStyles>
  <dxfs count="4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7787C5-FEDF-4862-B34C-C4873EAE3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30EB6BE-7868-4177-AF30-3486CDF6A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51FC10-1217-4633-B4D1-1CC2B3A1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2E53-6164-4DE1-866D-473ED16BD4D8}">
  <dimension ref="A1:AC74"/>
  <sheetViews>
    <sheetView showGridLines="0" tabSelected="1" zoomScale="70" zoomScaleNormal="70" workbookViewId="0">
      <selection activeCell="H18" sqref="H18"/>
    </sheetView>
  </sheetViews>
  <sheetFormatPr baseColWidth="10" defaultColWidth="8.7265625" defaultRowHeight="13" x14ac:dyDescent="0.3"/>
  <cols>
    <col min="1" max="1" width="7.81640625" style="1" customWidth="1"/>
    <col min="2" max="2" width="26.1796875" style="1" bestFit="1" customWidth="1"/>
    <col min="3" max="3" width="9.81640625" style="1" bestFit="1" customWidth="1"/>
    <col min="4" max="4" width="10.1796875" style="1" customWidth="1"/>
    <col min="5" max="5" width="16" style="1" bestFit="1" customWidth="1"/>
    <col min="6" max="6" width="20.54296875" style="1" customWidth="1"/>
    <col min="7" max="7" width="17.54296875" style="1" bestFit="1" customWidth="1"/>
    <col min="8" max="8" width="12.453125" style="1" bestFit="1" customWidth="1"/>
    <col min="9" max="9" width="4.54296875" style="1" bestFit="1" customWidth="1"/>
    <col min="10" max="11" width="12" style="1" customWidth="1"/>
    <col min="12" max="12" width="43.54296875" style="1" customWidth="1"/>
    <col min="13" max="13" width="22.453125" style="1" bestFit="1" customWidth="1"/>
    <col min="14" max="14" width="11" style="1" bestFit="1" customWidth="1"/>
    <col min="15" max="15" width="11" style="1" customWidth="1"/>
    <col min="16" max="16" width="34.81640625" style="1" customWidth="1"/>
    <col min="17" max="17" width="25.26953125" style="1" customWidth="1"/>
    <col min="18" max="18" width="4.1796875" style="1" bestFit="1" customWidth="1"/>
    <col min="19" max="19" width="10.453125" style="1" customWidth="1"/>
    <col min="20" max="20" width="19.453125" style="1" customWidth="1"/>
    <col min="21" max="21" width="17.7265625" style="1" bestFit="1" customWidth="1"/>
    <col min="22" max="22" width="13.54296875" style="1" bestFit="1" customWidth="1"/>
    <col min="23" max="23" width="12.81640625" style="1" customWidth="1"/>
    <col min="24" max="24" width="13.1796875" style="1" customWidth="1"/>
    <col min="25" max="26" width="8.7265625" style="1"/>
    <col min="27" max="27" width="9.7265625" style="1" customWidth="1"/>
    <col min="28" max="16384" width="8.7265625" style="1"/>
  </cols>
  <sheetData>
    <row r="1" spans="1:29" ht="13.5" thickBot="1" x14ac:dyDescent="0.35">
      <c r="U1" s="2" t="s">
        <v>21</v>
      </c>
      <c r="V1" s="2" t="s">
        <v>22</v>
      </c>
      <c r="W1" s="2" t="s">
        <v>23</v>
      </c>
      <c r="X1" s="2" t="s">
        <v>24</v>
      </c>
      <c r="Y1" s="2" t="s">
        <v>0</v>
      </c>
    </row>
    <row r="2" spans="1:29" ht="15" thickBot="1" x14ac:dyDescent="0.4">
      <c r="B2" s="3"/>
      <c r="C2" s="3"/>
      <c r="D2" s="4"/>
      <c r="E2" s="5"/>
      <c r="F2" s="6"/>
      <c r="L2" s="258" t="s">
        <v>7</v>
      </c>
      <c r="M2" s="259"/>
      <c r="P2" s="262" t="s">
        <v>8</v>
      </c>
      <c r="Q2" s="263"/>
      <c r="T2" s="1" t="s">
        <v>20</v>
      </c>
      <c r="U2" s="7">
        <v>1600</v>
      </c>
      <c r="V2" s="7">
        <v>45</v>
      </c>
      <c r="W2" s="7">
        <v>7</v>
      </c>
      <c r="X2" s="7">
        <f>V2</f>
        <v>45</v>
      </c>
      <c r="Y2" s="7">
        <f>U2/36*V2*W2</f>
        <v>14000</v>
      </c>
    </row>
    <row r="3" spans="1:29" x14ac:dyDescent="0.3">
      <c r="G3" s="8"/>
      <c r="L3" s="9" t="s">
        <v>6</v>
      </c>
      <c r="M3" s="10">
        <f>V32</f>
        <v>386</v>
      </c>
      <c r="P3" s="11" t="s">
        <v>42</v>
      </c>
      <c r="Q3" s="12">
        <f>(2000/36)</f>
        <v>55.555555555555557</v>
      </c>
    </row>
    <row r="4" spans="1:29" ht="13.5" thickBot="1" x14ac:dyDescent="0.35">
      <c r="G4" s="13"/>
      <c r="H4" s="8"/>
      <c r="I4" s="8"/>
      <c r="J4" s="8"/>
      <c r="K4" s="8"/>
      <c r="L4" s="14" t="s">
        <v>9</v>
      </c>
      <c r="M4" s="15"/>
      <c r="P4" s="16" t="s">
        <v>140</v>
      </c>
      <c r="Q4" s="17">
        <f>(800/36)</f>
        <v>22.222222222222221</v>
      </c>
      <c r="U4" s="2" t="s">
        <v>26</v>
      </c>
      <c r="V4" s="2" t="s">
        <v>27</v>
      </c>
      <c r="W4" s="2" t="s">
        <v>22</v>
      </c>
      <c r="X4" s="2" t="s">
        <v>0</v>
      </c>
    </row>
    <row r="5" spans="1:29" ht="13.5" thickBot="1" x14ac:dyDescent="0.35">
      <c r="B5" s="237" t="s">
        <v>50</v>
      </c>
      <c r="C5" s="238"/>
      <c r="D5" s="238"/>
      <c r="E5" s="238"/>
      <c r="F5" s="239"/>
      <c r="G5" s="18"/>
      <c r="L5" s="19" t="s">
        <v>10</v>
      </c>
      <c r="M5" s="20">
        <f>V38</f>
        <v>159.48233333333332</v>
      </c>
      <c r="P5" s="16" t="s">
        <v>18</v>
      </c>
      <c r="Q5" s="17">
        <v>50</v>
      </c>
      <c r="T5" s="1" t="s">
        <v>25</v>
      </c>
      <c r="U5" s="7">
        <v>600</v>
      </c>
      <c r="V5" s="7">
        <f>W2</f>
        <v>7</v>
      </c>
      <c r="W5" s="7">
        <f>X2</f>
        <v>45</v>
      </c>
      <c r="X5" s="21">
        <f>U5/36*V5*W5</f>
        <v>5250</v>
      </c>
    </row>
    <row r="6" spans="1:29" ht="15.75" customHeight="1" thickBot="1" x14ac:dyDescent="0.35">
      <c r="B6" s="22" t="s">
        <v>3</v>
      </c>
      <c r="C6" s="256" t="s">
        <v>45</v>
      </c>
      <c r="D6" s="257"/>
      <c r="E6" s="22" t="s">
        <v>46</v>
      </c>
      <c r="F6" s="216" t="s">
        <v>4</v>
      </c>
      <c r="L6" s="24" t="s">
        <v>129</v>
      </c>
      <c r="M6" s="25">
        <f>V5</f>
        <v>7</v>
      </c>
      <c r="P6" s="16"/>
      <c r="Q6" s="17"/>
      <c r="W6" s="26"/>
    </row>
    <row r="7" spans="1:29" ht="13.5" thickBot="1" x14ac:dyDescent="0.35">
      <c r="A7" s="18"/>
      <c r="B7" s="27" t="s">
        <v>44</v>
      </c>
      <c r="C7" s="28">
        <v>51750</v>
      </c>
      <c r="D7" s="29" t="s">
        <v>47</v>
      </c>
      <c r="E7" s="30">
        <f>M42</f>
        <v>0.33318336198523985</v>
      </c>
      <c r="F7" s="31">
        <f>E7*C7</f>
        <v>17242.238982736162</v>
      </c>
      <c r="L7" s="189" t="s">
        <v>159</v>
      </c>
      <c r="M7" s="190">
        <f>SUM(M3:M5)*M6</f>
        <v>3818.3763333333336</v>
      </c>
      <c r="P7" s="16"/>
      <c r="Q7" s="17"/>
    </row>
    <row r="8" spans="1:29" ht="13.5" thickBot="1" x14ac:dyDescent="0.35">
      <c r="B8" s="33" t="s">
        <v>43</v>
      </c>
      <c r="C8" s="33"/>
      <c r="D8" s="34"/>
      <c r="E8" s="35"/>
      <c r="F8" s="36"/>
      <c r="P8" s="16"/>
      <c r="Q8" s="17"/>
    </row>
    <row r="9" spans="1:29" ht="15" thickBot="1" x14ac:dyDescent="0.4">
      <c r="B9" s="37"/>
      <c r="C9" s="37"/>
      <c r="D9" s="37"/>
      <c r="E9" s="38" t="s">
        <v>2</v>
      </c>
      <c r="F9" s="39">
        <f>SUM(F7:F8)</f>
        <v>17242.238982736162</v>
      </c>
      <c r="L9" s="264" t="s">
        <v>160</v>
      </c>
      <c r="M9" s="265"/>
      <c r="P9" s="16"/>
      <c r="Q9" s="17"/>
    </row>
    <row r="10" spans="1:29" ht="15" thickBot="1" x14ac:dyDescent="0.4">
      <c r="B10" s="37"/>
      <c r="C10" s="37"/>
      <c r="D10" s="37"/>
      <c r="E10" s="38" t="s">
        <v>1</v>
      </c>
      <c r="F10" s="40">
        <f>F9*G10</f>
        <v>2069.0686779283392</v>
      </c>
      <c r="G10" s="173">
        <v>0.12</v>
      </c>
      <c r="L10" s="41" t="s">
        <v>133</v>
      </c>
      <c r="M10" s="191">
        <f>M7</f>
        <v>3818.3763333333336</v>
      </c>
      <c r="N10" s="42"/>
      <c r="O10" s="42"/>
      <c r="P10" s="16"/>
      <c r="Q10" s="17"/>
      <c r="R10" s="18"/>
      <c r="S10" s="18"/>
      <c r="T10" s="260" t="s">
        <v>19</v>
      </c>
      <c r="U10" s="249"/>
      <c r="W10" s="2" t="s">
        <v>28</v>
      </c>
      <c r="X10" s="2" t="s">
        <v>29</v>
      </c>
      <c r="Y10" s="2" t="s">
        <v>30</v>
      </c>
      <c r="Z10" s="2" t="s">
        <v>0</v>
      </c>
      <c r="AA10" s="43" t="s">
        <v>37</v>
      </c>
      <c r="AB10" s="43" t="s">
        <v>0</v>
      </c>
    </row>
    <row r="11" spans="1:29" ht="13.5" thickBot="1" x14ac:dyDescent="0.35">
      <c r="B11" s="44"/>
      <c r="C11" s="37"/>
      <c r="D11" s="37"/>
      <c r="E11" s="45" t="s">
        <v>0</v>
      </c>
      <c r="F11" s="46">
        <f>SUM(F9:F10)</f>
        <v>19311.307660664501</v>
      </c>
      <c r="L11" s="47" t="s">
        <v>134</v>
      </c>
      <c r="M11" s="203">
        <v>45</v>
      </c>
      <c r="N11" s="42"/>
      <c r="O11" s="42"/>
      <c r="P11" s="16"/>
      <c r="Q11" s="17"/>
      <c r="T11" s="11"/>
      <c r="U11" s="48">
        <v>0</v>
      </c>
      <c r="W11" s="7"/>
      <c r="X11" s="7"/>
      <c r="Y11" s="7"/>
      <c r="Z11" s="7"/>
      <c r="AA11" s="7"/>
      <c r="AB11" s="49"/>
    </row>
    <row r="12" spans="1:29" ht="13.5" thickBot="1" x14ac:dyDescent="0.35">
      <c r="C12" s="8"/>
      <c r="D12" s="8"/>
      <c r="L12" s="50" t="s">
        <v>135</v>
      </c>
      <c r="M12" s="200">
        <f>+(M10/22)*M11</f>
        <v>7810.3152272727284</v>
      </c>
      <c r="N12" s="42"/>
      <c r="O12" s="42"/>
      <c r="P12" s="16"/>
      <c r="Q12" s="17"/>
      <c r="T12" s="51"/>
      <c r="U12" s="52">
        <v>0</v>
      </c>
    </row>
    <row r="13" spans="1:29" ht="13.5" thickBot="1" x14ac:dyDescent="0.35">
      <c r="B13" s="237" t="s">
        <v>40</v>
      </c>
      <c r="C13" s="238"/>
      <c r="D13" s="238"/>
      <c r="E13" s="238"/>
      <c r="F13" s="239"/>
      <c r="L13" s="53" t="s">
        <v>136</v>
      </c>
      <c r="M13" s="192">
        <v>0</v>
      </c>
      <c r="N13" s="42"/>
      <c r="O13" s="42"/>
      <c r="P13" s="32"/>
      <c r="Q13" s="17"/>
      <c r="T13" s="51"/>
      <c r="U13" s="52">
        <v>0</v>
      </c>
      <c r="W13" s="2" t="s">
        <v>31</v>
      </c>
      <c r="X13" s="2" t="s">
        <v>29</v>
      </c>
      <c r="Y13" s="2" t="s">
        <v>32</v>
      </c>
      <c r="Z13" s="2" t="s">
        <v>30</v>
      </c>
      <c r="AA13" s="2" t="s">
        <v>0</v>
      </c>
      <c r="AB13" s="43" t="s">
        <v>38</v>
      </c>
      <c r="AC13" s="43" t="s">
        <v>0</v>
      </c>
    </row>
    <row r="14" spans="1:29" ht="15.75" customHeight="1" thickBot="1" x14ac:dyDescent="0.35">
      <c r="B14" s="22" t="s">
        <v>41</v>
      </c>
      <c r="C14" s="256" t="s">
        <v>49</v>
      </c>
      <c r="D14" s="257"/>
      <c r="E14" s="22" t="s">
        <v>46</v>
      </c>
      <c r="F14" s="216" t="s">
        <v>4</v>
      </c>
      <c r="L14" s="54" t="s">
        <v>134</v>
      </c>
      <c r="M14" s="193">
        <v>0</v>
      </c>
      <c r="N14" s="55"/>
      <c r="O14" s="55"/>
      <c r="P14" s="56" t="s">
        <v>0</v>
      </c>
      <c r="Q14" s="57">
        <f>SUM(Q3:Q4:Q5)+U25</f>
        <v>127.77777777777777</v>
      </c>
      <c r="T14" s="51"/>
      <c r="U14" s="52">
        <v>0</v>
      </c>
      <c r="W14" s="7"/>
      <c r="X14" s="7"/>
      <c r="Y14" s="7"/>
      <c r="Z14" s="7"/>
      <c r="AA14" s="7"/>
      <c r="AB14" s="49"/>
      <c r="AC14" s="49"/>
    </row>
    <row r="15" spans="1:29" ht="13.5" thickBot="1" x14ac:dyDescent="0.35">
      <c r="B15" s="58" t="s">
        <v>40</v>
      </c>
      <c r="C15" s="59">
        <f>H51</f>
        <v>968.94799804687523</v>
      </c>
      <c r="D15" s="60" t="s">
        <v>48</v>
      </c>
      <c r="E15" s="61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39">
        <f>C15*E15</f>
        <v>775.15839843750018</v>
      </c>
      <c r="L15" s="62" t="s">
        <v>135</v>
      </c>
      <c r="M15" s="194">
        <f>+(M13/22)*M14</f>
        <v>0</v>
      </c>
      <c r="N15" s="8"/>
      <c r="O15" s="8"/>
      <c r="T15" s="51"/>
      <c r="U15" s="52">
        <v>0</v>
      </c>
    </row>
    <row r="16" spans="1:29" ht="15" thickBot="1" x14ac:dyDescent="0.4">
      <c r="B16" s="33"/>
      <c r="C16" s="33"/>
      <c r="D16" s="34"/>
      <c r="E16" s="35"/>
      <c r="F16" s="63"/>
      <c r="L16" s="64" t="s">
        <v>137</v>
      </c>
      <c r="M16" s="195">
        <v>0</v>
      </c>
      <c r="P16" s="258" t="s">
        <v>164</v>
      </c>
      <c r="Q16" s="259"/>
      <c r="T16" s="51"/>
      <c r="U16" s="52">
        <v>0</v>
      </c>
      <c r="W16" s="2" t="s">
        <v>33</v>
      </c>
      <c r="X16" s="2" t="s">
        <v>29</v>
      </c>
      <c r="Y16" s="65" t="s">
        <v>34</v>
      </c>
      <c r="Z16" s="2" t="s">
        <v>36</v>
      </c>
      <c r="AA16" s="43" t="s">
        <v>35</v>
      </c>
      <c r="AB16" s="43" t="s">
        <v>38</v>
      </c>
      <c r="AC16" s="43" t="s">
        <v>0</v>
      </c>
    </row>
    <row r="17" spans="2:29" x14ac:dyDescent="0.3">
      <c r="B17" s="37"/>
      <c r="C17" s="37"/>
      <c r="D17" s="37"/>
      <c r="E17" s="38" t="s">
        <v>2</v>
      </c>
      <c r="F17" s="39">
        <f>SUM(F15:F16)</f>
        <v>775.15839843750018</v>
      </c>
      <c r="L17" s="66" t="s">
        <v>134</v>
      </c>
      <c r="M17" s="196">
        <v>0</v>
      </c>
      <c r="N17" s="18"/>
      <c r="O17" s="18"/>
      <c r="P17" s="153" t="s">
        <v>165</v>
      </c>
      <c r="Q17" s="68">
        <v>0.15</v>
      </c>
      <c r="T17" s="51"/>
      <c r="U17" s="52">
        <v>0</v>
      </c>
      <c r="W17" s="7"/>
      <c r="X17" s="69"/>
      <c r="Y17" s="69"/>
      <c r="Z17" s="69"/>
      <c r="AA17" s="69"/>
      <c r="AB17" s="70"/>
      <c r="AC17" s="49">
        <f>AA17*AB17</f>
        <v>0</v>
      </c>
    </row>
    <row r="18" spans="2:29" ht="13.5" thickBot="1" x14ac:dyDescent="0.35">
      <c r="B18" s="37"/>
      <c r="C18" s="37"/>
      <c r="D18" s="37"/>
      <c r="E18" s="38" t="s">
        <v>1</v>
      </c>
      <c r="F18" s="40">
        <f>F17*G18</f>
        <v>93.019007812500021</v>
      </c>
      <c r="G18" s="173">
        <v>0.12</v>
      </c>
      <c r="L18" s="71" t="s">
        <v>135</v>
      </c>
      <c r="M18" s="201">
        <f>+(M16/22)*M17</f>
        <v>0</v>
      </c>
      <c r="P18" s="189" t="s">
        <v>13</v>
      </c>
      <c r="Q18" s="206">
        <f>((M34)+((M34)*Q27))*Q17</f>
        <v>1901.7175348606058</v>
      </c>
      <c r="T18" s="74"/>
      <c r="U18" s="75">
        <v>0</v>
      </c>
    </row>
    <row r="19" spans="2:29" ht="13.5" thickBot="1" x14ac:dyDescent="0.35">
      <c r="B19" s="44"/>
      <c r="C19" s="37"/>
      <c r="D19" s="37"/>
      <c r="E19" s="45" t="s">
        <v>0</v>
      </c>
      <c r="F19" s="46">
        <f>SUM(F17:F18)</f>
        <v>868.17740625000022</v>
      </c>
      <c r="L19" s="76" t="s">
        <v>138</v>
      </c>
      <c r="M19" s="197">
        <v>0</v>
      </c>
      <c r="W19" s="2" t="s">
        <v>33</v>
      </c>
      <c r="X19" s="2" t="s">
        <v>29</v>
      </c>
      <c r="Y19" s="65" t="s">
        <v>34</v>
      </c>
      <c r="Z19" s="2" t="s">
        <v>36</v>
      </c>
      <c r="AA19" s="43" t="s">
        <v>35</v>
      </c>
      <c r="AB19" s="43" t="s">
        <v>38</v>
      </c>
      <c r="AC19" s="43" t="s">
        <v>0</v>
      </c>
    </row>
    <row r="20" spans="2:29" ht="13.5" thickBot="1" x14ac:dyDescent="0.35">
      <c r="B20" s="77"/>
      <c r="C20" s="77"/>
      <c r="D20" s="77"/>
      <c r="E20" s="78"/>
      <c r="F20" s="79"/>
      <c r="L20" s="80" t="s">
        <v>134</v>
      </c>
      <c r="M20" s="198">
        <v>0</v>
      </c>
      <c r="W20" s="7"/>
      <c r="X20" s="69"/>
      <c r="Y20" s="69"/>
      <c r="Z20" s="69"/>
      <c r="AA20" s="69"/>
      <c r="AB20" s="70"/>
      <c r="AC20" s="49">
        <f>AA20*AB20</f>
        <v>0</v>
      </c>
    </row>
    <row r="21" spans="2:29" ht="15" thickBot="1" x14ac:dyDescent="0.4">
      <c r="B21" s="77"/>
      <c r="C21" s="77"/>
      <c r="D21" s="77"/>
      <c r="E21" s="78"/>
      <c r="F21" s="79"/>
      <c r="L21" s="81" t="s">
        <v>135</v>
      </c>
      <c r="M21" s="202">
        <f>+(M19/22)*M20</f>
        <v>0</v>
      </c>
      <c r="P21" s="260" t="s">
        <v>11</v>
      </c>
      <c r="Q21" s="249"/>
    </row>
    <row r="22" spans="2:29" ht="13.5" thickBot="1" x14ac:dyDescent="0.35">
      <c r="B22" s="261"/>
      <c r="C22" s="261"/>
      <c r="D22" s="261"/>
      <c r="E22" s="261"/>
      <c r="F22" s="261"/>
      <c r="L22" s="56" t="s">
        <v>0</v>
      </c>
      <c r="M22" s="199">
        <f>+M18+M21+M15+M12</f>
        <v>7810.3152272727284</v>
      </c>
      <c r="P22" s="67" t="s">
        <v>12</v>
      </c>
      <c r="Q22" s="68">
        <v>0.13</v>
      </c>
    </row>
    <row r="23" spans="2:29" ht="15" thickBot="1" x14ac:dyDescent="0.4">
      <c r="B23" s="82" t="s">
        <v>51</v>
      </c>
      <c r="C23" s="223"/>
      <c r="D23" s="223"/>
      <c r="E23" s="223"/>
      <c r="F23" s="223"/>
      <c r="P23" s="72" t="s">
        <v>13</v>
      </c>
      <c r="Q23" s="73">
        <f>(M37+M38)*Q22</f>
        <v>1994.2677882238222</v>
      </c>
    </row>
    <row r="24" spans="2:29" ht="13.5" thickBot="1" x14ac:dyDescent="0.35"/>
    <row r="25" spans="2:29" ht="15" thickBot="1" x14ac:dyDescent="0.4">
      <c r="B25" s="84" t="s">
        <v>41</v>
      </c>
      <c r="C25" s="85" t="s">
        <v>68</v>
      </c>
      <c r="D25" s="85" t="s">
        <v>53</v>
      </c>
      <c r="E25" s="86" t="s">
        <v>72</v>
      </c>
      <c r="F25" s="87" t="s">
        <v>54</v>
      </c>
      <c r="G25" s="86" t="s">
        <v>63</v>
      </c>
      <c r="H25" s="85" t="s">
        <v>52</v>
      </c>
      <c r="L25" s="258" t="s">
        <v>157</v>
      </c>
      <c r="M25" s="259"/>
      <c r="P25" s="88" t="s">
        <v>5</v>
      </c>
      <c r="Q25" s="89">
        <f>C7</f>
        <v>51750</v>
      </c>
      <c r="T25" s="56" t="s">
        <v>0</v>
      </c>
      <c r="U25" s="90">
        <f>SUM(U11:U18)</f>
        <v>0</v>
      </c>
    </row>
    <row r="26" spans="2:29" ht="13.5" thickBot="1" x14ac:dyDescent="0.35">
      <c r="B26" s="91" t="s">
        <v>69</v>
      </c>
      <c r="C26" s="91" t="s">
        <v>65</v>
      </c>
      <c r="D26" s="91" t="s">
        <v>55</v>
      </c>
      <c r="E26" s="92">
        <v>14.7</v>
      </c>
      <c r="F26" s="93" t="s">
        <v>58</v>
      </c>
      <c r="G26" s="94" t="s">
        <v>59</v>
      </c>
      <c r="H26" s="91" t="s">
        <v>61</v>
      </c>
      <c r="L26" s="11" t="s">
        <v>108</v>
      </c>
      <c r="M26" s="95">
        <f>N55</f>
        <v>0</v>
      </c>
      <c r="P26" s="96"/>
    </row>
    <row r="27" spans="2:29" ht="13.5" thickBot="1" x14ac:dyDescent="0.35">
      <c r="B27" s="91" t="s">
        <v>69</v>
      </c>
      <c r="C27" s="91" t="s">
        <v>66</v>
      </c>
      <c r="D27" s="91" t="s">
        <v>55</v>
      </c>
      <c r="E27" s="92">
        <v>7.4</v>
      </c>
      <c r="F27" s="93" t="s">
        <v>58</v>
      </c>
      <c r="G27" s="94" t="s">
        <v>59</v>
      </c>
      <c r="H27" s="91" t="s">
        <v>61</v>
      </c>
      <c r="L27" s="51" t="s">
        <v>128</v>
      </c>
      <c r="M27" s="97">
        <f>N74*C7</f>
        <v>1117.7047799999998</v>
      </c>
      <c r="P27" s="88" t="s">
        <v>15</v>
      </c>
      <c r="Q27" s="98">
        <v>0.4</v>
      </c>
      <c r="T27" s="56"/>
    </row>
    <row r="28" spans="2:29" ht="13.5" thickBot="1" x14ac:dyDescent="0.35">
      <c r="B28" s="91" t="s">
        <v>69</v>
      </c>
      <c r="C28" s="91" t="s">
        <v>67</v>
      </c>
      <c r="D28" s="91" t="s">
        <v>56</v>
      </c>
      <c r="E28" s="92">
        <v>8.3000000000000007</v>
      </c>
      <c r="F28" s="93" t="s">
        <v>58</v>
      </c>
      <c r="G28" s="94" t="s">
        <v>59</v>
      </c>
      <c r="H28" s="91" t="s">
        <v>61</v>
      </c>
      <c r="L28" s="74"/>
      <c r="M28" s="99"/>
    </row>
    <row r="29" spans="2:29" ht="13.5" thickBot="1" x14ac:dyDescent="0.35">
      <c r="B29" s="91" t="s">
        <v>69</v>
      </c>
      <c r="C29" s="91" t="s">
        <v>73</v>
      </c>
      <c r="D29" s="91" t="s">
        <v>56</v>
      </c>
      <c r="E29" s="92">
        <v>11.8</v>
      </c>
      <c r="F29" s="93" t="s">
        <v>58</v>
      </c>
      <c r="G29" s="94" t="s">
        <v>59</v>
      </c>
      <c r="H29" s="91" t="s">
        <v>61</v>
      </c>
      <c r="L29" s="56" t="s">
        <v>0</v>
      </c>
      <c r="M29" s="188">
        <f>SUM(M26:M28)</f>
        <v>1117.7047799999998</v>
      </c>
      <c r="P29" s="246" t="s">
        <v>149</v>
      </c>
      <c r="Q29" s="247"/>
    </row>
    <row r="30" spans="2:29" ht="13.5" thickBot="1" x14ac:dyDescent="0.35">
      <c r="B30" s="91" t="s">
        <v>70</v>
      </c>
      <c r="C30" s="91" t="s">
        <v>74</v>
      </c>
      <c r="D30" s="91" t="s">
        <v>55</v>
      </c>
      <c r="E30" s="92">
        <v>44</v>
      </c>
      <c r="F30" s="93" t="s">
        <v>57</v>
      </c>
      <c r="G30" s="94" t="s">
        <v>60</v>
      </c>
      <c r="H30" s="91" t="s">
        <v>62</v>
      </c>
      <c r="P30" s="207" t="s">
        <v>161</v>
      </c>
      <c r="Q30" s="208">
        <f>M22</f>
        <v>7810.3152272727284</v>
      </c>
    </row>
    <row r="31" spans="2:29" ht="15" thickBot="1" x14ac:dyDescent="0.4">
      <c r="B31" s="91" t="s">
        <v>70</v>
      </c>
      <c r="C31" s="91" t="s">
        <v>75</v>
      </c>
      <c r="D31" s="91" t="s">
        <v>55</v>
      </c>
      <c r="E31" s="92">
        <v>22</v>
      </c>
      <c r="F31" s="93" t="s">
        <v>57</v>
      </c>
      <c r="G31" s="94" t="s">
        <v>60</v>
      </c>
      <c r="H31" s="91" t="s">
        <v>62</v>
      </c>
      <c r="L31" s="248" t="s">
        <v>156</v>
      </c>
      <c r="M31" s="249"/>
      <c r="P31" s="166" t="s">
        <v>162</v>
      </c>
      <c r="Q31" s="167">
        <f>M29</f>
        <v>1117.7047799999998</v>
      </c>
      <c r="T31" s="248" t="s">
        <v>7</v>
      </c>
      <c r="U31" s="250"/>
      <c r="V31" s="251"/>
    </row>
    <row r="32" spans="2:29" ht="13.5" thickBot="1" x14ac:dyDescent="0.35">
      <c r="B32" s="91" t="s">
        <v>70</v>
      </c>
      <c r="C32" s="91" t="s">
        <v>76</v>
      </c>
      <c r="D32" s="91" t="s">
        <v>56</v>
      </c>
      <c r="E32" s="92">
        <v>24.9</v>
      </c>
      <c r="F32" s="93" t="s">
        <v>57</v>
      </c>
      <c r="G32" s="94" t="s">
        <v>60</v>
      </c>
      <c r="H32" s="91" t="s">
        <v>62</v>
      </c>
      <c r="L32" s="187" t="s">
        <v>158</v>
      </c>
      <c r="M32" s="100">
        <f>SUM(M29+M22)</f>
        <v>8928.0200072727275</v>
      </c>
      <c r="P32" s="166" t="s">
        <v>8</v>
      </c>
      <c r="Q32" s="167">
        <f>M33</f>
        <v>127.77777777777777</v>
      </c>
      <c r="T32" s="234" t="s">
        <v>6</v>
      </c>
      <c r="U32" s="235"/>
      <c r="V32" s="10">
        <v>386</v>
      </c>
    </row>
    <row r="33" spans="2:22" ht="13.5" thickBot="1" x14ac:dyDescent="0.35">
      <c r="B33" s="91" t="s">
        <v>70</v>
      </c>
      <c r="C33" s="91" t="s">
        <v>77</v>
      </c>
      <c r="D33" s="91" t="s">
        <v>56</v>
      </c>
      <c r="E33" s="92">
        <v>28.1</v>
      </c>
      <c r="F33" s="93" t="s">
        <v>57</v>
      </c>
      <c r="G33" s="94" t="s">
        <v>60</v>
      </c>
      <c r="H33" s="91" t="s">
        <v>62</v>
      </c>
      <c r="L33" s="101" t="str">
        <f>P2</f>
        <v>Recursos Varios</v>
      </c>
      <c r="M33" s="102">
        <f>Q14</f>
        <v>127.77777777777777</v>
      </c>
      <c r="P33" s="166" t="s">
        <v>166</v>
      </c>
      <c r="Q33" s="167">
        <f>Q18</f>
        <v>1901.7175348606058</v>
      </c>
      <c r="T33" s="153" t="s">
        <v>141</v>
      </c>
      <c r="U33" s="154">
        <v>12</v>
      </c>
      <c r="V33" s="155">
        <f>$V$32/U33</f>
        <v>32.166666666666664</v>
      </c>
    </row>
    <row r="34" spans="2:22" ht="15" thickBot="1" x14ac:dyDescent="0.4">
      <c r="B34" s="103"/>
      <c r="L34" s="56" t="s">
        <v>0</v>
      </c>
      <c r="M34" s="205">
        <f>SUM(M32:M33)</f>
        <v>9055.7977850505049</v>
      </c>
      <c r="N34" s="204"/>
      <c r="T34" s="153" t="s">
        <v>142</v>
      </c>
      <c r="U34" s="154">
        <v>12</v>
      </c>
      <c r="V34" s="155">
        <f>(($V$32*U34)/U34)/U34</f>
        <v>32.166666666666664</v>
      </c>
    </row>
    <row r="35" spans="2:22" ht="13.5" thickBot="1" x14ac:dyDescent="0.35">
      <c r="P35" s="168" t="s">
        <v>150</v>
      </c>
      <c r="Q35" s="169">
        <f>SUM(Q30:Q34)</f>
        <v>10957.51531991111</v>
      </c>
      <c r="T35" s="153" t="s">
        <v>143</v>
      </c>
      <c r="U35" s="154">
        <v>24</v>
      </c>
      <c r="V35" s="155">
        <f>(($V$32*U34)/U35)/12</f>
        <v>16.083333333333332</v>
      </c>
    </row>
    <row r="36" spans="2:22" ht="15" thickBot="1" x14ac:dyDescent="0.4">
      <c r="G36" s="104" t="s">
        <v>71</v>
      </c>
      <c r="H36" s="105">
        <f>C7</f>
        <v>51750</v>
      </c>
      <c r="L36" s="252" t="s">
        <v>139</v>
      </c>
      <c r="M36" s="253"/>
      <c r="T36" s="156" t="s">
        <v>144</v>
      </c>
      <c r="U36" s="157">
        <v>12</v>
      </c>
      <c r="V36" s="158">
        <f>(($V$32*U36)/U36)/U36</f>
        <v>32.166666666666664</v>
      </c>
    </row>
    <row r="37" spans="2:22" ht="13.5" thickBot="1" x14ac:dyDescent="0.35">
      <c r="G37" s="106" t="s">
        <v>68</v>
      </c>
      <c r="H37" s="215" t="s">
        <v>67</v>
      </c>
      <c r="L37" s="186" t="s">
        <v>163</v>
      </c>
      <c r="M37" s="100">
        <f>M34+Q18</f>
        <v>10957.51531991111</v>
      </c>
      <c r="N37" s="108"/>
      <c r="O37" s="108"/>
      <c r="P37" s="170" t="s">
        <v>151</v>
      </c>
      <c r="Q37" s="171">
        <f>F7</f>
        <v>17242.238982736162</v>
      </c>
      <c r="T37" s="159" t="s">
        <v>145</v>
      </c>
      <c r="U37" s="160">
        <v>0.1215</v>
      </c>
      <c r="V37" s="161">
        <f>(V32*U37)</f>
        <v>46.899000000000001</v>
      </c>
    </row>
    <row r="38" spans="2:22" ht="13.5" thickBot="1" x14ac:dyDescent="0.35">
      <c r="G38" s="106" t="s">
        <v>53</v>
      </c>
      <c r="H38" s="107" t="s">
        <v>56</v>
      </c>
      <c r="L38" s="101" t="s">
        <v>14</v>
      </c>
      <c r="M38" s="109">
        <f>M37*Q27</f>
        <v>4383.0061279644442</v>
      </c>
      <c r="Q38" s="13"/>
      <c r="T38" s="254" t="s">
        <v>146</v>
      </c>
      <c r="U38" s="255"/>
      <c r="V38" s="20">
        <f>SUM(V33:V37)</f>
        <v>159.48233333333332</v>
      </c>
    </row>
    <row r="39" spans="2:22" ht="13.5" thickBot="1" x14ac:dyDescent="0.35">
      <c r="B39" s="110" t="s">
        <v>94</v>
      </c>
      <c r="C39" s="110" t="s">
        <v>98</v>
      </c>
      <c r="G39" s="106" t="s">
        <v>52</v>
      </c>
      <c r="H39" s="107" t="s">
        <v>61</v>
      </c>
      <c r="P39" s="211" t="s">
        <v>152</v>
      </c>
      <c r="Q39" s="212">
        <f>Q37-Q35</f>
        <v>6284.7236628250521</v>
      </c>
      <c r="T39" s="234" t="s">
        <v>147</v>
      </c>
      <c r="U39" s="235"/>
      <c r="V39" s="162">
        <f>V32+V38</f>
        <v>545.48233333333337</v>
      </c>
    </row>
    <row r="40" spans="2:22" ht="15" thickBot="1" x14ac:dyDescent="0.4">
      <c r="B40" s="94" t="s">
        <v>88</v>
      </c>
      <c r="C40" s="144">
        <v>1.8</v>
      </c>
      <c r="G40" s="111" t="s">
        <v>64</v>
      </c>
      <c r="H40" s="112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209"/>
      <c r="Q40" s="210"/>
      <c r="T40" s="163" t="s">
        <v>148</v>
      </c>
      <c r="U40" s="164">
        <v>7</v>
      </c>
      <c r="V40" s="165">
        <f>V39*U40</f>
        <v>3818.3763333333336</v>
      </c>
    </row>
    <row r="41" spans="2:22" ht="13.5" thickBot="1" x14ac:dyDescent="0.35">
      <c r="B41" s="94" t="s">
        <v>89</v>
      </c>
      <c r="C41" s="144">
        <v>1.6</v>
      </c>
      <c r="L41" s="113" t="s">
        <v>16</v>
      </c>
      <c r="M41" s="114">
        <f>(M37+Q18)/Q25</f>
        <v>0.24848759139655488</v>
      </c>
      <c r="P41" s="236" t="s">
        <v>167</v>
      </c>
      <c r="Q41" s="236"/>
    </row>
    <row r="42" spans="2:22" ht="13.5" thickBot="1" x14ac:dyDescent="0.35">
      <c r="B42" s="94" t="s">
        <v>90</v>
      </c>
      <c r="C42" s="144">
        <v>1.4</v>
      </c>
      <c r="G42" s="7" t="s">
        <v>79</v>
      </c>
      <c r="H42" s="115">
        <f>H36*H40</f>
        <v>429525.00000000006</v>
      </c>
      <c r="I42" s="116" t="s">
        <v>78</v>
      </c>
      <c r="L42" s="113" t="s">
        <v>17</v>
      </c>
      <c r="M42" s="114">
        <f>(M37+M38+Q18)/Q25</f>
        <v>0.33318336198523985</v>
      </c>
      <c r="P42" s="166" t="s">
        <v>168</v>
      </c>
      <c r="Q42" s="172">
        <f>Q23</f>
        <v>1994.2677882238222</v>
      </c>
    </row>
    <row r="43" spans="2:22" ht="13.5" thickBot="1" x14ac:dyDescent="0.35">
      <c r="B43" s="94" t="s">
        <v>91</v>
      </c>
      <c r="C43" s="144">
        <v>1.2</v>
      </c>
      <c r="G43" s="7" t="s">
        <v>80</v>
      </c>
      <c r="H43" s="115">
        <v>1024</v>
      </c>
      <c r="I43" s="116" t="s">
        <v>78</v>
      </c>
    </row>
    <row r="44" spans="2:22" ht="13.5" thickBot="1" x14ac:dyDescent="0.35">
      <c r="B44" s="94" t="s">
        <v>92</v>
      </c>
      <c r="C44" s="144">
        <v>1</v>
      </c>
      <c r="G44" s="7" t="s">
        <v>81</v>
      </c>
      <c r="H44" s="117">
        <v>0.05</v>
      </c>
      <c r="I44" s="116"/>
      <c r="K44" s="237" t="s">
        <v>107</v>
      </c>
      <c r="L44" s="238"/>
      <c r="M44" s="238"/>
      <c r="N44" s="239"/>
      <c r="O44" s="223"/>
      <c r="P44" s="166" t="s">
        <v>153</v>
      </c>
      <c r="Q44" s="183">
        <f>(Q42*R44)/Q22</f>
        <v>460.21564343626665</v>
      </c>
      <c r="R44" s="185">
        <v>0.03</v>
      </c>
    </row>
    <row r="45" spans="2:22" ht="13.5" thickBot="1" x14ac:dyDescent="0.35">
      <c r="B45" s="94" t="s">
        <v>93</v>
      </c>
      <c r="C45" s="144">
        <v>0.8</v>
      </c>
      <c r="K45" s="118" t="s">
        <v>39</v>
      </c>
      <c r="L45" s="118" t="s">
        <v>41</v>
      </c>
      <c r="M45" s="118" t="s">
        <v>46</v>
      </c>
      <c r="N45" s="118" t="s">
        <v>0</v>
      </c>
      <c r="O45" s="178"/>
      <c r="P45" s="166" t="s">
        <v>155</v>
      </c>
      <c r="Q45" s="184">
        <f>(Q42*R45)/Q22</f>
        <v>1534.0521447875556</v>
      </c>
      <c r="R45" s="185">
        <v>0.1</v>
      </c>
    </row>
    <row r="46" spans="2:22" ht="14.5" x14ac:dyDescent="0.3">
      <c r="B46" s="94" t="s">
        <v>95</v>
      </c>
      <c r="C46" s="144">
        <v>0.6</v>
      </c>
      <c r="G46" s="7" t="s">
        <v>82</v>
      </c>
      <c r="H46" s="115">
        <f>(H42*H44)+H42</f>
        <v>451001.25000000006</v>
      </c>
      <c r="I46" s="116" t="s">
        <v>78</v>
      </c>
      <c r="K46" s="240">
        <v>0</v>
      </c>
      <c r="L46" s="119" t="s">
        <v>99</v>
      </c>
      <c r="M46" s="243">
        <v>22000</v>
      </c>
      <c r="N46" s="243">
        <f>M46*K46</f>
        <v>0</v>
      </c>
      <c r="O46" s="179"/>
    </row>
    <row r="47" spans="2:22" ht="15.5" x14ac:dyDescent="0.35">
      <c r="B47" s="94" t="s">
        <v>97</v>
      </c>
      <c r="C47" s="144">
        <v>0.5</v>
      </c>
      <c r="G47" s="7" t="s">
        <v>83</v>
      </c>
      <c r="H47" s="120">
        <f>H46/H43</f>
        <v>440.43090820312506</v>
      </c>
      <c r="I47" s="116" t="s">
        <v>85</v>
      </c>
      <c r="K47" s="241"/>
      <c r="L47" s="121" t="s">
        <v>100</v>
      </c>
      <c r="M47" s="244"/>
      <c r="N47" s="244"/>
      <c r="O47" s="179"/>
      <c r="P47" s="213" t="s">
        <v>154</v>
      </c>
      <c r="Q47" s="214">
        <f>Q39-Q42</f>
        <v>4290.4558746012299</v>
      </c>
    </row>
    <row r="48" spans="2:22" ht="14.5" x14ac:dyDescent="0.3">
      <c r="B48" s="94" t="s">
        <v>96</v>
      </c>
      <c r="C48" s="144">
        <v>0.35</v>
      </c>
      <c r="G48" s="7" t="s">
        <v>84</v>
      </c>
      <c r="H48" s="115">
        <f>H46*I48</f>
        <v>45100.125000000007</v>
      </c>
      <c r="I48" s="122">
        <v>0.1</v>
      </c>
      <c r="K48" s="241"/>
      <c r="L48" s="121" t="s">
        <v>101</v>
      </c>
      <c r="M48" s="244"/>
      <c r="N48" s="244"/>
      <c r="O48" s="179"/>
    </row>
    <row r="49" spans="7:15" ht="14.5" x14ac:dyDescent="0.3">
      <c r="G49" s="7" t="s">
        <v>86</v>
      </c>
      <c r="H49" s="123">
        <f>H48*12</f>
        <v>541201.50000000012</v>
      </c>
      <c r="I49" s="116" t="s">
        <v>78</v>
      </c>
      <c r="K49" s="241"/>
      <c r="L49" s="121" t="s">
        <v>102</v>
      </c>
      <c r="M49" s="244"/>
      <c r="N49" s="244"/>
      <c r="O49" s="179"/>
    </row>
    <row r="50" spans="7:15" ht="14.5" x14ac:dyDescent="0.3">
      <c r="K50" s="241"/>
      <c r="L50" s="121" t="s">
        <v>103</v>
      </c>
      <c r="M50" s="244"/>
      <c r="N50" s="244"/>
      <c r="O50" s="179"/>
    </row>
    <row r="51" spans="7:15" ht="15" thickBot="1" x14ac:dyDescent="0.4">
      <c r="G51" s="124" t="s">
        <v>87</v>
      </c>
      <c r="H51" s="125">
        <f>(H46+H49)/H43</f>
        <v>968.94799804687523</v>
      </c>
      <c r="I51" s="126" t="s">
        <v>85</v>
      </c>
      <c r="K51" s="242"/>
      <c r="L51" s="127" t="s">
        <v>104</v>
      </c>
      <c r="M51" s="245"/>
      <c r="N51" s="245"/>
      <c r="O51" s="179"/>
    </row>
    <row r="52" spans="7:15" ht="13.5" thickBot="1" x14ac:dyDescent="0.35">
      <c r="K52" s="128">
        <v>0</v>
      </c>
      <c r="L52" s="129" t="s">
        <v>105</v>
      </c>
      <c r="M52" s="130">
        <v>5000</v>
      </c>
      <c r="N52" s="130">
        <f>M52*K52</f>
        <v>0</v>
      </c>
      <c r="O52" s="180"/>
    </row>
    <row r="53" spans="7:15" ht="13.5" thickBot="1" x14ac:dyDescent="0.35">
      <c r="K53" s="128">
        <v>0</v>
      </c>
      <c r="L53" s="129" t="s">
        <v>106</v>
      </c>
      <c r="M53" s="130">
        <v>9900</v>
      </c>
      <c r="N53" s="130">
        <f>M53*K53</f>
        <v>0</v>
      </c>
      <c r="O53" s="180"/>
    </row>
    <row r="54" spans="7:15" ht="13.5" thickBot="1" x14ac:dyDescent="0.35">
      <c r="O54" s="181"/>
    </row>
    <row r="55" spans="7:15" ht="13.5" thickBot="1" x14ac:dyDescent="0.35">
      <c r="M55" s="22" t="s">
        <v>0</v>
      </c>
      <c r="N55" s="130">
        <f>SUM(N46:N53)</f>
        <v>0</v>
      </c>
      <c r="O55" s="180"/>
    </row>
    <row r="56" spans="7:15" x14ac:dyDescent="0.3">
      <c r="O56" s="181"/>
    </row>
    <row r="57" spans="7:15" ht="13.5" thickBot="1" x14ac:dyDescent="0.35">
      <c r="O57" s="181"/>
    </row>
    <row r="58" spans="7:15" ht="14.5" x14ac:dyDescent="0.35">
      <c r="K58" s="225" t="s">
        <v>109</v>
      </c>
      <c r="L58" s="226"/>
      <c r="M58" s="226"/>
      <c r="N58" s="227"/>
      <c r="O58" s="182"/>
    </row>
    <row r="59" spans="7:15" ht="14.5" x14ac:dyDescent="0.35">
      <c r="K59" s="228" t="s">
        <v>110</v>
      </c>
      <c r="L59" s="229"/>
      <c r="M59" s="229"/>
      <c r="N59" s="230"/>
      <c r="O59" s="182"/>
    </row>
    <row r="60" spans="7:15" ht="15" thickBot="1" x14ac:dyDescent="0.4">
      <c r="K60" s="231" t="s">
        <v>130</v>
      </c>
      <c r="L60" s="232"/>
      <c r="M60" s="232"/>
      <c r="N60" s="233"/>
      <c r="O60" s="182"/>
    </row>
    <row r="61" spans="7:15" ht="13.5" thickBot="1" x14ac:dyDescent="0.35">
      <c r="K61" s="118" t="s">
        <v>39</v>
      </c>
      <c r="L61" s="118" t="s">
        <v>111</v>
      </c>
      <c r="M61" s="118" t="s">
        <v>112</v>
      </c>
      <c r="N61" s="118" t="s">
        <v>113</v>
      </c>
      <c r="O61" s="178"/>
    </row>
    <row r="62" spans="7:15" x14ac:dyDescent="0.3">
      <c r="K62" s="218">
        <v>0</v>
      </c>
      <c r="L62" s="132" t="s">
        <v>114</v>
      </c>
      <c r="M62" s="217" t="s">
        <v>115</v>
      </c>
      <c r="N62" s="220">
        <v>0</v>
      </c>
      <c r="O62" s="174"/>
    </row>
    <row r="63" spans="7:15" x14ac:dyDescent="0.3">
      <c r="K63" s="218">
        <v>0</v>
      </c>
      <c r="L63" s="135" t="s">
        <v>116</v>
      </c>
      <c r="M63" s="218" t="s">
        <v>117</v>
      </c>
      <c r="N63" s="221">
        <v>859.68</v>
      </c>
      <c r="O63" s="174"/>
    </row>
    <row r="64" spans="7:15" x14ac:dyDescent="0.3">
      <c r="K64" s="218">
        <v>0</v>
      </c>
      <c r="L64" s="135" t="s">
        <v>118</v>
      </c>
      <c r="M64" s="218" t="s">
        <v>119</v>
      </c>
      <c r="N64" s="221">
        <v>15703</v>
      </c>
      <c r="O64" s="174"/>
    </row>
    <row r="65" spans="11:15" x14ac:dyDescent="0.3">
      <c r="K65" s="218">
        <v>0</v>
      </c>
      <c r="L65" s="135" t="s">
        <v>120</v>
      </c>
      <c r="M65" s="218" t="s">
        <v>121</v>
      </c>
      <c r="N65" s="221">
        <v>0</v>
      </c>
      <c r="O65" s="174"/>
    </row>
    <row r="66" spans="11:15" x14ac:dyDescent="0.3">
      <c r="K66" s="218">
        <v>0</v>
      </c>
      <c r="L66" s="135" t="s">
        <v>122</v>
      </c>
      <c r="M66" s="218" t="s">
        <v>123</v>
      </c>
      <c r="N66" s="221">
        <v>520.48</v>
      </c>
      <c r="O66" s="174"/>
    </row>
    <row r="67" spans="11:15" x14ac:dyDescent="0.3">
      <c r="K67" s="218">
        <v>0</v>
      </c>
      <c r="L67" s="135" t="s">
        <v>124</v>
      </c>
      <c r="M67" s="218" t="s">
        <v>125</v>
      </c>
      <c r="N67" s="221">
        <v>3920</v>
      </c>
      <c r="O67" s="174"/>
    </row>
    <row r="68" spans="11:15" ht="13.5" thickBot="1" x14ac:dyDescent="0.35">
      <c r="K68" s="219">
        <v>0</v>
      </c>
      <c r="L68" s="138" t="s">
        <v>126</v>
      </c>
      <c r="M68" s="219" t="s">
        <v>127</v>
      </c>
      <c r="N68" s="222">
        <v>595</v>
      </c>
      <c r="O68" s="174"/>
    </row>
    <row r="69" spans="11:15" ht="13.5" thickBot="1" x14ac:dyDescent="0.35"/>
    <row r="70" spans="11:15" ht="15" thickBot="1" x14ac:dyDescent="0.35">
      <c r="M70" s="140" t="s">
        <v>0</v>
      </c>
      <c r="N70" s="130">
        <f>SUM(N62:N69)</f>
        <v>21598.16</v>
      </c>
      <c r="O70" s="175"/>
    </row>
    <row r="71" spans="11:15" ht="13.5" thickBot="1" x14ac:dyDescent="0.35"/>
    <row r="72" spans="11:15" ht="15" thickBot="1" x14ac:dyDescent="0.35">
      <c r="M72" s="140" t="s">
        <v>131</v>
      </c>
      <c r="N72" s="141">
        <v>1000000</v>
      </c>
      <c r="O72" s="176"/>
    </row>
    <row r="73" spans="11:15" ht="13.5" thickBot="1" x14ac:dyDescent="0.35"/>
    <row r="74" spans="11:15" ht="15" thickBot="1" x14ac:dyDescent="0.35">
      <c r="M74" s="142" t="s">
        <v>132</v>
      </c>
      <c r="N74" s="143">
        <f>N70/N72</f>
        <v>2.1598159999999998E-2</v>
      </c>
      <c r="O74" s="177"/>
    </row>
  </sheetData>
  <mergeCells count="27">
    <mergeCell ref="T10:U10"/>
    <mergeCell ref="L2:M2"/>
    <mergeCell ref="P2:Q2"/>
    <mergeCell ref="B5:F5"/>
    <mergeCell ref="C6:D6"/>
    <mergeCell ref="L9:M9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</mergeCells>
  <conditionalFormatting sqref="H40">
    <cfRule type="containsText" dxfId="3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 xr:uid="{AF00B124-28D1-40EE-B098-3395A3FBF627}">
      <formula1>$D$31:$D$32</formula1>
    </dataValidation>
    <dataValidation type="list" allowBlank="1" showInputMessage="1" showErrorMessage="1" sqref="H39" xr:uid="{DD047F66-7F7E-47CF-BD77-E798149C21EA}">
      <formula1>$H$29:$H$30</formula1>
    </dataValidation>
    <dataValidation type="list" allowBlank="1" showInputMessage="1" showErrorMessage="1" sqref="H37" xr:uid="{7E6CC267-B020-4DA6-9E6E-E0939BC15C03}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topLeftCell="A29" zoomScale="70" zoomScaleNormal="70" workbookViewId="0">
      <selection activeCell="F55" sqref="F55"/>
    </sheetView>
  </sheetViews>
  <sheetFormatPr baseColWidth="10" defaultColWidth="8.7265625" defaultRowHeight="13" x14ac:dyDescent="0.3"/>
  <cols>
    <col min="1" max="1" width="7.81640625" style="1" customWidth="1"/>
    <col min="2" max="2" width="26.1796875" style="1" bestFit="1" customWidth="1"/>
    <col min="3" max="3" width="9.81640625" style="1" bestFit="1" customWidth="1"/>
    <col min="4" max="4" width="10.1796875" style="1" customWidth="1"/>
    <col min="5" max="5" width="16" style="1" bestFit="1" customWidth="1"/>
    <col min="6" max="6" width="20.54296875" style="1" customWidth="1"/>
    <col min="7" max="7" width="17.54296875" style="1" bestFit="1" customWidth="1"/>
    <col min="8" max="8" width="12.453125" style="1" bestFit="1" customWidth="1"/>
    <col min="9" max="9" width="4.54296875" style="1" bestFit="1" customWidth="1"/>
    <col min="10" max="11" width="12" style="1" customWidth="1"/>
    <col min="12" max="12" width="43.54296875" style="1" customWidth="1"/>
    <col min="13" max="13" width="22.453125" style="1" bestFit="1" customWidth="1"/>
    <col min="14" max="14" width="11" style="1" bestFit="1" customWidth="1"/>
    <col min="15" max="15" width="11" style="1" customWidth="1"/>
    <col min="16" max="16" width="34.81640625" style="1" customWidth="1"/>
    <col min="17" max="17" width="25.26953125" style="1" customWidth="1"/>
    <col min="18" max="18" width="4.1796875" style="1" bestFit="1" customWidth="1"/>
    <col min="19" max="19" width="10.453125" style="1" customWidth="1"/>
    <col min="20" max="20" width="19.453125" style="1" customWidth="1"/>
    <col min="21" max="21" width="17.7265625" style="1" bestFit="1" customWidth="1"/>
    <col min="22" max="22" width="13.54296875" style="1" bestFit="1" customWidth="1"/>
    <col min="23" max="23" width="12.81640625" style="1" customWidth="1"/>
    <col min="24" max="24" width="13.1796875" style="1" customWidth="1"/>
    <col min="25" max="26" width="8.7265625" style="1"/>
    <col min="27" max="27" width="9.7265625" style="1" customWidth="1"/>
    <col min="28" max="16384" width="8.7265625" style="1"/>
  </cols>
  <sheetData>
    <row r="1" spans="1:29" ht="13.5" thickBot="1" x14ac:dyDescent="0.35">
      <c r="U1" s="2" t="s">
        <v>21</v>
      </c>
      <c r="V1" s="2" t="s">
        <v>22</v>
      </c>
      <c r="W1" s="2" t="s">
        <v>23</v>
      </c>
      <c r="X1" s="2" t="s">
        <v>24</v>
      </c>
      <c r="Y1" s="2" t="s">
        <v>0</v>
      </c>
    </row>
    <row r="2" spans="1:29" ht="15" thickBot="1" x14ac:dyDescent="0.4">
      <c r="B2" s="3"/>
      <c r="C2" s="3"/>
      <c r="D2" s="4"/>
      <c r="E2" s="5"/>
      <c r="F2" s="6"/>
      <c r="L2" s="258" t="s">
        <v>7</v>
      </c>
      <c r="M2" s="259"/>
      <c r="P2" s="262" t="s">
        <v>8</v>
      </c>
      <c r="Q2" s="263"/>
      <c r="T2" s="1" t="s">
        <v>20</v>
      </c>
      <c r="U2" s="7">
        <v>1600</v>
      </c>
      <c r="V2" s="7">
        <v>3</v>
      </c>
      <c r="W2" s="7">
        <v>3</v>
      </c>
      <c r="X2" s="7">
        <f>V2</f>
        <v>3</v>
      </c>
      <c r="Y2" s="7">
        <f>U2/36*V2*W2</f>
        <v>399.99999999999994</v>
      </c>
    </row>
    <row r="3" spans="1:29" x14ac:dyDescent="0.3">
      <c r="G3" s="8"/>
      <c r="L3" s="9" t="s">
        <v>6</v>
      </c>
      <c r="M3" s="10">
        <f>V32</f>
        <v>386</v>
      </c>
      <c r="P3" s="11" t="s">
        <v>42</v>
      </c>
      <c r="Q3" s="12">
        <f>(2000/36)</f>
        <v>55.555555555555557</v>
      </c>
    </row>
    <row r="4" spans="1:29" ht="13.5" thickBot="1" x14ac:dyDescent="0.35">
      <c r="G4" s="13"/>
      <c r="H4" s="8"/>
      <c r="I4" s="8"/>
      <c r="J4" s="8"/>
      <c r="K4" s="8"/>
      <c r="L4" s="14" t="s">
        <v>9</v>
      </c>
      <c r="M4" s="15"/>
      <c r="P4" s="16" t="s">
        <v>140</v>
      </c>
      <c r="Q4" s="17">
        <f>(800/36)</f>
        <v>22.222222222222221</v>
      </c>
      <c r="U4" s="2" t="s">
        <v>26</v>
      </c>
      <c r="V4" s="2" t="s">
        <v>27</v>
      </c>
      <c r="W4" s="2" t="s">
        <v>22</v>
      </c>
      <c r="X4" s="2" t="s">
        <v>0</v>
      </c>
    </row>
    <row r="5" spans="1:29" ht="13.5" thickBot="1" x14ac:dyDescent="0.35">
      <c r="B5" s="237" t="s">
        <v>50</v>
      </c>
      <c r="C5" s="238"/>
      <c r="D5" s="238"/>
      <c r="E5" s="238"/>
      <c r="F5" s="239"/>
      <c r="G5" s="18"/>
      <c r="L5" s="19" t="s">
        <v>10</v>
      </c>
      <c r="M5" s="20">
        <f>V38</f>
        <v>159.48233333333332</v>
      </c>
      <c r="P5" s="16" t="s">
        <v>18</v>
      </c>
      <c r="Q5" s="17">
        <v>50</v>
      </c>
      <c r="T5" s="1" t="s">
        <v>25</v>
      </c>
      <c r="U5" s="7">
        <v>600</v>
      </c>
      <c r="V5" s="7">
        <f>W2</f>
        <v>3</v>
      </c>
      <c r="W5" s="7">
        <f>X2</f>
        <v>3</v>
      </c>
      <c r="X5" s="21">
        <f>U5/36*V5*W5</f>
        <v>150</v>
      </c>
    </row>
    <row r="6" spans="1:29" ht="15.75" customHeight="1" thickBot="1" x14ac:dyDescent="0.35">
      <c r="B6" s="22" t="s">
        <v>3</v>
      </c>
      <c r="C6" s="256" t="s">
        <v>45</v>
      </c>
      <c r="D6" s="257"/>
      <c r="E6" s="22" t="s">
        <v>46</v>
      </c>
      <c r="F6" s="23" t="s">
        <v>4</v>
      </c>
      <c r="L6" s="24" t="s">
        <v>129</v>
      </c>
      <c r="M6" s="25">
        <f>V5</f>
        <v>3</v>
      </c>
      <c r="P6" s="16"/>
      <c r="Q6" s="17"/>
      <c r="W6" s="26"/>
    </row>
    <row r="7" spans="1:29" ht="13.5" thickBot="1" x14ac:dyDescent="0.35">
      <c r="A7" s="18"/>
      <c r="B7" s="27" t="s">
        <v>44</v>
      </c>
      <c r="C7" s="28">
        <v>1600</v>
      </c>
      <c r="D7" s="29" t="s">
        <v>47</v>
      </c>
      <c r="E7" s="30">
        <f>M42</f>
        <v>0.45872916992282825</v>
      </c>
      <c r="F7" s="31">
        <f>E7*C7</f>
        <v>733.9666718765252</v>
      </c>
      <c r="L7" s="189" t="s">
        <v>159</v>
      </c>
      <c r="M7" s="190">
        <f>SUM(M3:M5)*M6</f>
        <v>1636.4470000000001</v>
      </c>
      <c r="P7" s="16"/>
      <c r="Q7" s="17"/>
    </row>
    <row r="8" spans="1:29" ht="13.5" thickBot="1" x14ac:dyDescent="0.35">
      <c r="B8" s="33" t="s">
        <v>43</v>
      </c>
      <c r="C8" s="33"/>
      <c r="D8" s="34"/>
      <c r="E8" s="35"/>
      <c r="F8" s="36"/>
      <c r="P8" s="16"/>
      <c r="Q8" s="17"/>
    </row>
    <row r="9" spans="1:29" ht="15" thickBot="1" x14ac:dyDescent="0.4">
      <c r="B9" s="37"/>
      <c r="C9" s="37"/>
      <c r="D9" s="37"/>
      <c r="E9" s="38" t="s">
        <v>2</v>
      </c>
      <c r="F9" s="39">
        <f>SUM(F7:F8)</f>
        <v>733.9666718765252</v>
      </c>
      <c r="L9" s="264" t="s">
        <v>160</v>
      </c>
      <c r="M9" s="265"/>
      <c r="P9" s="16"/>
      <c r="Q9" s="17"/>
    </row>
    <row r="10" spans="1:29" ht="15" thickBot="1" x14ac:dyDescent="0.4">
      <c r="B10" s="37"/>
      <c r="C10" s="37"/>
      <c r="D10" s="37"/>
      <c r="E10" s="38" t="s">
        <v>1</v>
      </c>
      <c r="F10" s="40">
        <f>F9*G10</f>
        <v>88.076000625183013</v>
      </c>
      <c r="G10" s="173">
        <v>0.12</v>
      </c>
      <c r="L10" s="41" t="s">
        <v>133</v>
      </c>
      <c r="M10" s="191">
        <f>M7</f>
        <v>1636.4470000000001</v>
      </c>
      <c r="N10" s="42"/>
      <c r="O10" s="42"/>
      <c r="P10" s="16"/>
      <c r="Q10" s="17"/>
      <c r="R10" s="18"/>
      <c r="S10" s="18"/>
      <c r="T10" s="260" t="s">
        <v>19</v>
      </c>
      <c r="U10" s="249"/>
      <c r="W10" s="2" t="s">
        <v>28</v>
      </c>
      <c r="X10" s="2" t="s">
        <v>29</v>
      </c>
      <c r="Y10" s="2" t="s">
        <v>30</v>
      </c>
      <c r="Z10" s="2" t="s">
        <v>0</v>
      </c>
      <c r="AA10" s="43" t="s">
        <v>37</v>
      </c>
      <c r="AB10" s="43" t="s">
        <v>0</v>
      </c>
    </row>
    <row r="11" spans="1:29" ht="13.5" thickBot="1" x14ac:dyDescent="0.35">
      <c r="B11" s="44"/>
      <c r="C11" s="37"/>
      <c r="D11" s="37"/>
      <c r="E11" s="45" t="s">
        <v>0</v>
      </c>
      <c r="F11" s="46">
        <f>SUM(F9:F10)</f>
        <v>822.04267250170824</v>
      </c>
      <c r="L11" s="47" t="s">
        <v>134</v>
      </c>
      <c r="M11" s="203">
        <v>3</v>
      </c>
      <c r="N11" s="42"/>
      <c r="O11" s="42"/>
      <c r="P11" s="16"/>
      <c r="Q11" s="17"/>
      <c r="T11" s="11"/>
      <c r="U11" s="48">
        <v>0</v>
      </c>
      <c r="W11" s="7"/>
      <c r="X11" s="7"/>
      <c r="Y11" s="7"/>
      <c r="Z11" s="7"/>
      <c r="AA11" s="7"/>
      <c r="AB11" s="49"/>
    </row>
    <row r="12" spans="1:29" ht="13.5" thickBot="1" x14ac:dyDescent="0.35">
      <c r="C12" s="8"/>
      <c r="D12" s="8"/>
      <c r="L12" s="50" t="s">
        <v>135</v>
      </c>
      <c r="M12" s="200">
        <f>+(M10/22)*M11</f>
        <v>223.15186363636366</v>
      </c>
      <c r="N12" s="42"/>
      <c r="O12" s="42"/>
      <c r="P12" s="16"/>
      <c r="Q12" s="17"/>
      <c r="T12" s="51"/>
      <c r="U12" s="52">
        <v>0</v>
      </c>
    </row>
    <row r="13" spans="1:29" ht="13.5" thickBot="1" x14ac:dyDescent="0.35">
      <c r="B13" s="237" t="s">
        <v>40</v>
      </c>
      <c r="C13" s="238"/>
      <c r="D13" s="238"/>
      <c r="E13" s="238"/>
      <c r="F13" s="239"/>
      <c r="L13" s="53" t="s">
        <v>136</v>
      </c>
      <c r="M13" s="192">
        <v>0</v>
      </c>
      <c r="N13" s="42"/>
      <c r="O13" s="42"/>
      <c r="P13" s="32"/>
      <c r="Q13" s="17"/>
      <c r="T13" s="51"/>
      <c r="U13" s="52">
        <v>0</v>
      </c>
      <c r="W13" s="2" t="s">
        <v>31</v>
      </c>
      <c r="X13" s="2" t="s">
        <v>29</v>
      </c>
      <c r="Y13" s="2" t="s">
        <v>32</v>
      </c>
      <c r="Z13" s="2" t="s">
        <v>30</v>
      </c>
      <c r="AA13" s="2" t="s">
        <v>0</v>
      </c>
      <c r="AB13" s="43" t="s">
        <v>38</v>
      </c>
      <c r="AC13" s="43" t="s">
        <v>0</v>
      </c>
    </row>
    <row r="14" spans="1:29" ht="15.75" customHeight="1" thickBot="1" x14ac:dyDescent="0.35">
      <c r="B14" s="22" t="s">
        <v>41</v>
      </c>
      <c r="C14" s="256" t="s">
        <v>49</v>
      </c>
      <c r="D14" s="257"/>
      <c r="E14" s="22" t="s">
        <v>46</v>
      </c>
      <c r="F14" s="23" t="s">
        <v>4</v>
      </c>
      <c r="L14" s="54" t="s">
        <v>134</v>
      </c>
      <c r="M14" s="193">
        <v>0</v>
      </c>
      <c r="N14" s="55"/>
      <c r="O14" s="55"/>
      <c r="P14" s="56" t="s">
        <v>0</v>
      </c>
      <c r="Q14" s="57">
        <f>SUM(Q3:Q4:Q5)+U25</f>
        <v>127.77777777777777</v>
      </c>
      <c r="T14" s="51"/>
      <c r="U14" s="52">
        <v>0</v>
      </c>
      <c r="W14" s="7"/>
      <c r="X14" s="7"/>
      <c r="Y14" s="7"/>
      <c r="Z14" s="7"/>
      <c r="AA14" s="7"/>
      <c r="AB14" s="49"/>
      <c r="AC14" s="49"/>
    </row>
    <row r="15" spans="1:29" ht="13.5" thickBot="1" x14ac:dyDescent="0.35">
      <c r="B15" s="58" t="s">
        <v>40</v>
      </c>
      <c r="C15" s="59">
        <f>H51</f>
        <v>29.957812500000003</v>
      </c>
      <c r="D15" s="60" t="s">
        <v>48</v>
      </c>
      <c r="E15" s="61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1.8</v>
      </c>
      <c r="F15" s="39">
        <f>C15*E15</f>
        <v>53.924062500000005</v>
      </c>
      <c r="L15" s="62" t="s">
        <v>135</v>
      </c>
      <c r="M15" s="194">
        <f>+(M13/22)*M14</f>
        <v>0</v>
      </c>
      <c r="N15" s="8"/>
      <c r="O15" s="8"/>
      <c r="T15" s="51"/>
      <c r="U15" s="52">
        <v>0</v>
      </c>
    </row>
    <row r="16" spans="1:29" ht="15" thickBot="1" x14ac:dyDescent="0.4">
      <c r="B16" s="33"/>
      <c r="C16" s="33"/>
      <c r="D16" s="34"/>
      <c r="E16" s="35"/>
      <c r="F16" s="63"/>
      <c r="L16" s="64" t="s">
        <v>137</v>
      </c>
      <c r="M16" s="195">
        <v>0</v>
      </c>
      <c r="P16" s="258" t="s">
        <v>164</v>
      </c>
      <c r="Q16" s="259"/>
      <c r="T16" s="51"/>
      <c r="U16" s="52">
        <v>0</v>
      </c>
      <c r="W16" s="2" t="s">
        <v>33</v>
      </c>
      <c r="X16" s="2" t="s">
        <v>29</v>
      </c>
      <c r="Y16" s="65" t="s">
        <v>34</v>
      </c>
      <c r="Z16" s="2" t="s">
        <v>36</v>
      </c>
      <c r="AA16" s="43" t="s">
        <v>35</v>
      </c>
      <c r="AB16" s="43" t="s">
        <v>38</v>
      </c>
      <c r="AC16" s="43" t="s">
        <v>0</v>
      </c>
    </row>
    <row r="17" spans="2:29" x14ac:dyDescent="0.3">
      <c r="B17" s="37"/>
      <c r="C17" s="37"/>
      <c r="D17" s="37"/>
      <c r="E17" s="38" t="s">
        <v>2</v>
      </c>
      <c r="F17" s="39">
        <f>SUM(F15:F16)</f>
        <v>53.924062500000005</v>
      </c>
      <c r="L17" s="66" t="s">
        <v>134</v>
      </c>
      <c r="M17" s="196">
        <v>0</v>
      </c>
      <c r="N17" s="18"/>
      <c r="O17" s="18"/>
      <c r="P17" s="153" t="s">
        <v>165</v>
      </c>
      <c r="Q17" s="68">
        <v>0.15</v>
      </c>
      <c r="T17" s="51"/>
      <c r="U17" s="52">
        <v>0</v>
      </c>
      <c r="W17" s="7"/>
      <c r="X17" s="69"/>
      <c r="Y17" s="69"/>
      <c r="Z17" s="69"/>
      <c r="AA17" s="69"/>
      <c r="AB17" s="70"/>
      <c r="AC17" s="49">
        <f>AA17*AB17</f>
        <v>0</v>
      </c>
    </row>
    <row r="18" spans="2:29" ht="13.5" thickBot="1" x14ac:dyDescent="0.35">
      <c r="B18" s="37"/>
      <c r="C18" s="37"/>
      <c r="D18" s="37"/>
      <c r="E18" s="38" t="s">
        <v>1</v>
      </c>
      <c r="F18" s="40">
        <f>F17*G18</f>
        <v>6.4708875000000008</v>
      </c>
      <c r="G18" s="173">
        <v>0.12</v>
      </c>
      <c r="L18" s="71" t="s">
        <v>135</v>
      </c>
      <c r="M18" s="201">
        <f>+(M16/22)*M17</f>
        <v>0</v>
      </c>
      <c r="P18" s="189" t="s">
        <v>13</v>
      </c>
      <c r="Q18" s="206">
        <f>((M34)+((M34)*Q27))*Q17</f>
        <v>80.952206456969691</v>
      </c>
      <c r="T18" s="74"/>
      <c r="U18" s="75">
        <v>0</v>
      </c>
    </row>
    <row r="19" spans="2:29" ht="13.5" thickBot="1" x14ac:dyDescent="0.35">
      <c r="B19" s="44"/>
      <c r="C19" s="37"/>
      <c r="D19" s="37"/>
      <c r="E19" s="45" t="s">
        <v>0</v>
      </c>
      <c r="F19" s="46">
        <f>SUM(F17:F18)</f>
        <v>60.394950000000009</v>
      </c>
      <c r="L19" s="76" t="s">
        <v>138</v>
      </c>
      <c r="M19" s="197">
        <v>0</v>
      </c>
      <c r="W19" s="2" t="s">
        <v>33</v>
      </c>
      <c r="X19" s="2" t="s">
        <v>29</v>
      </c>
      <c r="Y19" s="65" t="s">
        <v>34</v>
      </c>
      <c r="Z19" s="2" t="s">
        <v>36</v>
      </c>
      <c r="AA19" s="43" t="s">
        <v>35</v>
      </c>
      <c r="AB19" s="43" t="s">
        <v>38</v>
      </c>
      <c r="AC19" s="43" t="s">
        <v>0</v>
      </c>
    </row>
    <row r="20" spans="2:29" ht="13.5" thickBot="1" x14ac:dyDescent="0.35">
      <c r="B20" s="77"/>
      <c r="C20" s="77"/>
      <c r="D20" s="77"/>
      <c r="E20" s="78"/>
      <c r="F20" s="79"/>
      <c r="L20" s="80" t="s">
        <v>134</v>
      </c>
      <c r="M20" s="198">
        <v>0</v>
      </c>
      <c r="W20" s="7"/>
      <c r="X20" s="69"/>
      <c r="Y20" s="69"/>
      <c r="Z20" s="69"/>
      <c r="AA20" s="69"/>
      <c r="AB20" s="70"/>
      <c r="AC20" s="49">
        <f>AA20*AB20</f>
        <v>0</v>
      </c>
    </row>
    <row r="21" spans="2:29" ht="15" thickBot="1" x14ac:dyDescent="0.4">
      <c r="B21" s="77"/>
      <c r="C21" s="77"/>
      <c r="D21" s="77"/>
      <c r="E21" s="78"/>
      <c r="F21" s="79"/>
      <c r="L21" s="81" t="s">
        <v>135</v>
      </c>
      <c r="M21" s="202">
        <f>+(M19/22)*M20</f>
        <v>0</v>
      </c>
      <c r="P21" s="260" t="s">
        <v>11</v>
      </c>
      <c r="Q21" s="249"/>
    </row>
    <row r="22" spans="2:29" ht="13.5" thickBot="1" x14ac:dyDescent="0.35">
      <c r="B22" s="261"/>
      <c r="C22" s="261"/>
      <c r="D22" s="261"/>
      <c r="E22" s="261"/>
      <c r="F22" s="261"/>
      <c r="L22" s="56" t="s">
        <v>0</v>
      </c>
      <c r="M22" s="199">
        <f>+M18+M21+M15+M12</f>
        <v>223.15186363636366</v>
      </c>
      <c r="P22" s="67" t="s">
        <v>12</v>
      </c>
      <c r="Q22" s="68">
        <v>0.13</v>
      </c>
    </row>
    <row r="23" spans="2:29" ht="15" thickBot="1" x14ac:dyDescent="0.4">
      <c r="B23" s="82" t="s">
        <v>51</v>
      </c>
      <c r="C23" s="83"/>
      <c r="D23" s="83"/>
      <c r="E23" s="83"/>
      <c r="F23" s="83"/>
      <c r="P23" s="72" t="s">
        <v>13</v>
      </c>
      <c r="Q23" s="73">
        <f>(M37+M38)*Q22</f>
        <v>84.891880504542229</v>
      </c>
    </row>
    <row r="24" spans="2:29" ht="13.5" thickBot="1" x14ac:dyDescent="0.35"/>
    <row r="25" spans="2:29" ht="15" thickBot="1" x14ac:dyDescent="0.4">
      <c r="B25" s="84" t="s">
        <v>41</v>
      </c>
      <c r="C25" s="85" t="s">
        <v>68</v>
      </c>
      <c r="D25" s="85" t="s">
        <v>53</v>
      </c>
      <c r="E25" s="86" t="s">
        <v>72</v>
      </c>
      <c r="F25" s="87" t="s">
        <v>54</v>
      </c>
      <c r="G25" s="86" t="s">
        <v>63</v>
      </c>
      <c r="H25" s="85" t="s">
        <v>52</v>
      </c>
      <c r="L25" s="258" t="s">
        <v>157</v>
      </c>
      <c r="M25" s="259"/>
      <c r="P25" s="88" t="s">
        <v>5</v>
      </c>
      <c r="Q25" s="89">
        <f>C7</f>
        <v>1600</v>
      </c>
      <c r="T25" s="56" t="s">
        <v>0</v>
      </c>
      <c r="U25" s="90">
        <f>SUM(U11:U18)</f>
        <v>0</v>
      </c>
    </row>
    <row r="26" spans="2:29" ht="13.5" thickBot="1" x14ac:dyDescent="0.35">
      <c r="B26" s="91" t="s">
        <v>69</v>
      </c>
      <c r="C26" s="91" t="s">
        <v>65</v>
      </c>
      <c r="D26" s="91" t="s">
        <v>55</v>
      </c>
      <c r="E26" s="92">
        <v>14.7</v>
      </c>
      <c r="F26" s="93" t="s">
        <v>58</v>
      </c>
      <c r="G26" s="94" t="s">
        <v>59</v>
      </c>
      <c r="H26" s="91" t="s">
        <v>61</v>
      </c>
      <c r="L26" s="11" t="s">
        <v>108</v>
      </c>
      <c r="M26" s="95">
        <f>N55</f>
        <v>0</v>
      </c>
      <c r="P26" s="96"/>
    </row>
    <row r="27" spans="2:29" ht="13.5" thickBot="1" x14ac:dyDescent="0.35">
      <c r="B27" s="91" t="s">
        <v>69</v>
      </c>
      <c r="C27" s="91" t="s">
        <v>66</v>
      </c>
      <c r="D27" s="91" t="s">
        <v>55</v>
      </c>
      <c r="E27" s="92">
        <v>7.4</v>
      </c>
      <c r="F27" s="93" t="s">
        <v>58</v>
      </c>
      <c r="G27" s="94" t="s">
        <v>59</v>
      </c>
      <c r="H27" s="91" t="s">
        <v>61</v>
      </c>
      <c r="L27" s="51" t="s">
        <v>128</v>
      </c>
      <c r="M27" s="97">
        <f>N74*C7</f>
        <v>34.557055999999996</v>
      </c>
      <c r="P27" s="88" t="s">
        <v>15</v>
      </c>
      <c r="Q27" s="98">
        <v>0.4</v>
      </c>
      <c r="T27" s="56"/>
    </row>
    <row r="28" spans="2:29" ht="13.5" thickBot="1" x14ac:dyDescent="0.35">
      <c r="B28" s="91" t="s">
        <v>69</v>
      </c>
      <c r="C28" s="91" t="s">
        <v>67</v>
      </c>
      <c r="D28" s="91" t="s">
        <v>56</v>
      </c>
      <c r="E28" s="92">
        <v>8.3000000000000007</v>
      </c>
      <c r="F28" s="93" t="s">
        <v>58</v>
      </c>
      <c r="G28" s="94" t="s">
        <v>59</v>
      </c>
      <c r="H28" s="91" t="s">
        <v>61</v>
      </c>
      <c r="L28" s="74"/>
      <c r="M28" s="99"/>
    </row>
    <row r="29" spans="2:29" ht="13.5" thickBot="1" x14ac:dyDescent="0.35">
      <c r="B29" s="91" t="s">
        <v>69</v>
      </c>
      <c r="C29" s="91" t="s">
        <v>73</v>
      </c>
      <c r="D29" s="91" t="s">
        <v>56</v>
      </c>
      <c r="E29" s="92">
        <v>11.8</v>
      </c>
      <c r="F29" s="93" t="s">
        <v>58</v>
      </c>
      <c r="G29" s="94" t="s">
        <v>59</v>
      </c>
      <c r="H29" s="91" t="s">
        <v>61</v>
      </c>
      <c r="L29" s="56" t="s">
        <v>0</v>
      </c>
      <c r="M29" s="188">
        <f>SUM(M26:M28)</f>
        <v>34.557055999999996</v>
      </c>
      <c r="P29" s="246" t="s">
        <v>149</v>
      </c>
      <c r="Q29" s="247"/>
    </row>
    <row r="30" spans="2:29" ht="13.5" thickBot="1" x14ac:dyDescent="0.35">
      <c r="B30" s="91" t="s">
        <v>70</v>
      </c>
      <c r="C30" s="91" t="s">
        <v>74</v>
      </c>
      <c r="D30" s="91" t="s">
        <v>55</v>
      </c>
      <c r="E30" s="92">
        <v>44</v>
      </c>
      <c r="F30" s="93" t="s">
        <v>57</v>
      </c>
      <c r="G30" s="94" t="s">
        <v>60</v>
      </c>
      <c r="H30" s="91" t="s">
        <v>62</v>
      </c>
      <c r="P30" s="207" t="s">
        <v>161</v>
      </c>
      <c r="Q30" s="208">
        <f>M22</f>
        <v>223.15186363636366</v>
      </c>
    </row>
    <row r="31" spans="2:29" ht="15" thickBot="1" x14ac:dyDescent="0.4">
      <c r="B31" s="91" t="s">
        <v>70</v>
      </c>
      <c r="C31" s="91" t="s">
        <v>75</v>
      </c>
      <c r="D31" s="91" t="s">
        <v>55</v>
      </c>
      <c r="E31" s="92">
        <v>22</v>
      </c>
      <c r="F31" s="93" t="s">
        <v>57</v>
      </c>
      <c r="G31" s="94" t="s">
        <v>60</v>
      </c>
      <c r="H31" s="91" t="s">
        <v>62</v>
      </c>
      <c r="L31" s="248" t="s">
        <v>156</v>
      </c>
      <c r="M31" s="249"/>
      <c r="P31" s="166" t="s">
        <v>162</v>
      </c>
      <c r="Q31" s="167">
        <f>M29</f>
        <v>34.557055999999996</v>
      </c>
      <c r="T31" s="248" t="s">
        <v>7</v>
      </c>
      <c r="U31" s="250"/>
      <c r="V31" s="251"/>
    </row>
    <row r="32" spans="2:29" ht="13.5" thickBot="1" x14ac:dyDescent="0.35">
      <c r="B32" s="91" t="s">
        <v>70</v>
      </c>
      <c r="C32" s="91" t="s">
        <v>76</v>
      </c>
      <c r="D32" s="91" t="s">
        <v>56</v>
      </c>
      <c r="E32" s="92">
        <v>24.9</v>
      </c>
      <c r="F32" s="93" t="s">
        <v>57</v>
      </c>
      <c r="G32" s="94" t="s">
        <v>60</v>
      </c>
      <c r="H32" s="91" t="s">
        <v>62</v>
      </c>
      <c r="L32" s="187" t="s">
        <v>158</v>
      </c>
      <c r="M32" s="100">
        <f>SUM(M29+M22)</f>
        <v>257.70891963636365</v>
      </c>
      <c r="P32" s="166" t="s">
        <v>8</v>
      </c>
      <c r="Q32" s="167">
        <f>M33</f>
        <v>127.77777777777777</v>
      </c>
      <c r="T32" s="234" t="s">
        <v>6</v>
      </c>
      <c r="U32" s="235"/>
      <c r="V32" s="10">
        <v>386</v>
      </c>
    </row>
    <row r="33" spans="2:22" ht="13.5" thickBot="1" x14ac:dyDescent="0.35">
      <c r="B33" s="91" t="s">
        <v>70</v>
      </c>
      <c r="C33" s="91" t="s">
        <v>77</v>
      </c>
      <c r="D33" s="91" t="s">
        <v>56</v>
      </c>
      <c r="E33" s="92">
        <v>28.1</v>
      </c>
      <c r="F33" s="93" t="s">
        <v>57</v>
      </c>
      <c r="G33" s="94" t="s">
        <v>60</v>
      </c>
      <c r="H33" s="91" t="s">
        <v>62</v>
      </c>
      <c r="L33" s="101" t="str">
        <f>P2</f>
        <v>Recursos Varios</v>
      </c>
      <c r="M33" s="102">
        <f>Q14</f>
        <v>127.77777777777777</v>
      </c>
      <c r="P33" s="166" t="s">
        <v>166</v>
      </c>
      <c r="Q33" s="167">
        <f>Q18</f>
        <v>80.952206456969691</v>
      </c>
      <c r="T33" s="153" t="s">
        <v>141</v>
      </c>
      <c r="U33" s="154">
        <v>12</v>
      </c>
      <c r="V33" s="155">
        <f>$V$32/U33</f>
        <v>32.166666666666664</v>
      </c>
    </row>
    <row r="34" spans="2:22" ht="15" thickBot="1" x14ac:dyDescent="0.4">
      <c r="B34" s="103"/>
      <c r="L34" s="56" t="s">
        <v>0</v>
      </c>
      <c r="M34" s="205">
        <f>SUM(M32:M33)</f>
        <v>385.48669741414142</v>
      </c>
      <c r="N34" s="204"/>
      <c r="T34" s="153" t="s">
        <v>142</v>
      </c>
      <c r="U34" s="154">
        <v>12</v>
      </c>
      <c r="V34" s="155">
        <f>(($V$32*U34)/U34)/U34</f>
        <v>32.166666666666664</v>
      </c>
    </row>
    <row r="35" spans="2:22" ht="13.5" thickBot="1" x14ac:dyDescent="0.35">
      <c r="P35" s="168" t="s">
        <v>150</v>
      </c>
      <c r="Q35" s="169">
        <f>SUM(Q30:Q34)</f>
        <v>466.43890387111111</v>
      </c>
      <c r="T35" s="153" t="s">
        <v>143</v>
      </c>
      <c r="U35" s="154">
        <v>24</v>
      </c>
      <c r="V35" s="155">
        <f>(($V$32*U34)/U35)/12</f>
        <v>16.083333333333332</v>
      </c>
    </row>
    <row r="36" spans="2:22" ht="15" thickBot="1" x14ac:dyDescent="0.4">
      <c r="G36" s="104" t="s">
        <v>71</v>
      </c>
      <c r="H36" s="105">
        <f>C7</f>
        <v>1600</v>
      </c>
      <c r="L36" s="252" t="s">
        <v>139</v>
      </c>
      <c r="M36" s="253"/>
      <c r="T36" s="156" t="s">
        <v>144</v>
      </c>
      <c r="U36" s="157">
        <v>12</v>
      </c>
      <c r="V36" s="158">
        <f>(($V$32*U36)/U36)/U36</f>
        <v>32.166666666666664</v>
      </c>
    </row>
    <row r="37" spans="2:22" ht="13.5" thickBot="1" x14ac:dyDescent="0.35">
      <c r="G37" s="106" t="s">
        <v>68</v>
      </c>
      <c r="H37" s="215" t="s">
        <v>67</v>
      </c>
      <c r="L37" s="186" t="s">
        <v>163</v>
      </c>
      <c r="M37" s="100">
        <f>M34+Q18</f>
        <v>466.43890387111111</v>
      </c>
      <c r="N37" s="108"/>
      <c r="O37" s="108"/>
      <c r="P37" s="170" t="s">
        <v>151</v>
      </c>
      <c r="Q37" s="171">
        <f>F7</f>
        <v>733.9666718765252</v>
      </c>
      <c r="T37" s="159" t="s">
        <v>145</v>
      </c>
      <c r="U37" s="160">
        <v>0.1215</v>
      </c>
      <c r="V37" s="161">
        <f>(V32*U37)</f>
        <v>46.899000000000001</v>
      </c>
    </row>
    <row r="38" spans="2:22" ht="13.5" thickBot="1" x14ac:dyDescent="0.35">
      <c r="G38" s="106" t="s">
        <v>53</v>
      </c>
      <c r="H38" s="107" t="s">
        <v>56</v>
      </c>
      <c r="L38" s="101" t="s">
        <v>14</v>
      </c>
      <c r="M38" s="109">
        <f>M37*Q27</f>
        <v>186.57556154844445</v>
      </c>
      <c r="Q38" s="13"/>
      <c r="T38" s="254" t="s">
        <v>146</v>
      </c>
      <c r="U38" s="255"/>
      <c r="V38" s="20">
        <f>SUM(V33:V37)</f>
        <v>159.48233333333332</v>
      </c>
    </row>
    <row r="39" spans="2:22" ht="13.5" thickBot="1" x14ac:dyDescent="0.35">
      <c r="B39" s="110" t="s">
        <v>94</v>
      </c>
      <c r="C39" s="110" t="s">
        <v>98</v>
      </c>
      <c r="G39" s="106" t="s">
        <v>52</v>
      </c>
      <c r="H39" s="107" t="s">
        <v>61</v>
      </c>
      <c r="P39" s="211" t="s">
        <v>152</v>
      </c>
      <c r="Q39" s="212">
        <f>Q37-Q35</f>
        <v>267.52776800541409</v>
      </c>
      <c r="T39" s="234" t="s">
        <v>147</v>
      </c>
      <c r="U39" s="235"/>
      <c r="V39" s="162">
        <f>V32+V38</f>
        <v>545.48233333333337</v>
      </c>
    </row>
    <row r="40" spans="2:22" ht="15" thickBot="1" x14ac:dyDescent="0.4">
      <c r="B40" s="94" t="s">
        <v>88</v>
      </c>
      <c r="C40" s="144">
        <v>1.8</v>
      </c>
      <c r="G40" s="111" t="s">
        <v>64</v>
      </c>
      <c r="H40" s="112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209"/>
      <c r="Q40" s="210"/>
      <c r="T40" s="163" t="s">
        <v>148</v>
      </c>
      <c r="U40" s="164">
        <v>1</v>
      </c>
      <c r="V40" s="165">
        <f>V39*U40</f>
        <v>545.48233333333337</v>
      </c>
    </row>
    <row r="41" spans="2:22" ht="13.5" thickBot="1" x14ac:dyDescent="0.35">
      <c r="B41" s="94" t="s">
        <v>89</v>
      </c>
      <c r="C41" s="144">
        <v>1.6</v>
      </c>
      <c r="L41" s="113" t="s">
        <v>16</v>
      </c>
      <c r="M41" s="114">
        <f>(M37+Q18)/Q25</f>
        <v>0.34211944395505051</v>
      </c>
      <c r="P41" s="236" t="s">
        <v>167</v>
      </c>
      <c r="Q41" s="236"/>
    </row>
    <row r="42" spans="2:22" ht="13.5" thickBot="1" x14ac:dyDescent="0.35">
      <c r="B42" s="94" t="s">
        <v>90</v>
      </c>
      <c r="C42" s="144">
        <v>1.4</v>
      </c>
      <c r="G42" s="7" t="s">
        <v>79</v>
      </c>
      <c r="H42" s="115">
        <f>H36*H40</f>
        <v>13280.000000000002</v>
      </c>
      <c r="I42" s="116" t="s">
        <v>78</v>
      </c>
      <c r="L42" s="113" t="s">
        <v>17</v>
      </c>
      <c r="M42" s="114">
        <f>(M37+M38+Q18)/Q25</f>
        <v>0.45872916992282825</v>
      </c>
      <c r="P42" s="166" t="s">
        <v>168</v>
      </c>
      <c r="Q42" s="172">
        <f>Q23</f>
        <v>84.891880504542229</v>
      </c>
    </row>
    <row r="43" spans="2:22" ht="13.5" thickBot="1" x14ac:dyDescent="0.35">
      <c r="B43" s="94" t="s">
        <v>91</v>
      </c>
      <c r="C43" s="144">
        <v>1.2</v>
      </c>
      <c r="G43" s="7" t="s">
        <v>80</v>
      </c>
      <c r="H43" s="115">
        <v>1024</v>
      </c>
      <c r="I43" s="116" t="s">
        <v>78</v>
      </c>
    </row>
    <row r="44" spans="2:22" ht="13.5" thickBot="1" x14ac:dyDescent="0.35">
      <c r="B44" s="94" t="s">
        <v>92</v>
      </c>
      <c r="C44" s="144">
        <v>1</v>
      </c>
      <c r="G44" s="7" t="s">
        <v>81</v>
      </c>
      <c r="H44" s="117">
        <v>0.05</v>
      </c>
      <c r="I44" s="116"/>
      <c r="K44" s="237" t="s">
        <v>107</v>
      </c>
      <c r="L44" s="238"/>
      <c r="M44" s="238"/>
      <c r="N44" s="239"/>
      <c r="O44" s="146"/>
      <c r="P44" s="166" t="s">
        <v>153</v>
      </c>
      <c r="Q44" s="183">
        <f>(Q42*R44)/Q22</f>
        <v>19.590433962586669</v>
      </c>
      <c r="R44" s="185">
        <v>0.03</v>
      </c>
    </row>
    <row r="45" spans="2:22" ht="13.5" thickBot="1" x14ac:dyDescent="0.35">
      <c r="B45" s="94" t="s">
        <v>93</v>
      </c>
      <c r="C45" s="144">
        <v>0.8</v>
      </c>
      <c r="K45" s="118" t="s">
        <v>39</v>
      </c>
      <c r="L45" s="118" t="s">
        <v>41</v>
      </c>
      <c r="M45" s="118" t="s">
        <v>46</v>
      </c>
      <c r="N45" s="118" t="s">
        <v>0</v>
      </c>
      <c r="O45" s="178"/>
      <c r="P45" s="166" t="s">
        <v>155</v>
      </c>
      <c r="Q45" s="184">
        <f>(Q42*R45)/Q22</f>
        <v>65.301446541955556</v>
      </c>
      <c r="R45" s="185">
        <v>0.1</v>
      </c>
    </row>
    <row r="46" spans="2:22" ht="14.5" x14ac:dyDescent="0.3">
      <c r="B46" s="94" t="s">
        <v>95</v>
      </c>
      <c r="C46" s="144">
        <v>0.6</v>
      </c>
      <c r="G46" s="7" t="s">
        <v>82</v>
      </c>
      <c r="H46" s="115">
        <f>(H42*H44)+H42</f>
        <v>13944.000000000002</v>
      </c>
      <c r="I46" s="116" t="s">
        <v>78</v>
      </c>
      <c r="K46" s="240">
        <v>0</v>
      </c>
      <c r="L46" s="119" t="s">
        <v>99</v>
      </c>
      <c r="M46" s="243">
        <v>22000</v>
      </c>
      <c r="N46" s="243">
        <f>M46*K46</f>
        <v>0</v>
      </c>
      <c r="O46" s="179"/>
    </row>
    <row r="47" spans="2:22" ht="15.5" x14ac:dyDescent="0.35">
      <c r="B47" s="94" t="s">
        <v>97</v>
      </c>
      <c r="C47" s="144">
        <v>0.5</v>
      </c>
      <c r="G47" s="7" t="s">
        <v>83</v>
      </c>
      <c r="H47" s="120">
        <f>H46/H43</f>
        <v>13.617187500000002</v>
      </c>
      <c r="I47" s="116" t="s">
        <v>85</v>
      </c>
      <c r="K47" s="241"/>
      <c r="L47" s="121" t="s">
        <v>100</v>
      </c>
      <c r="M47" s="244"/>
      <c r="N47" s="244"/>
      <c r="O47" s="179"/>
      <c r="P47" s="213" t="s">
        <v>154</v>
      </c>
      <c r="Q47" s="214">
        <f>Q39-Q42</f>
        <v>182.63588750087186</v>
      </c>
    </row>
    <row r="48" spans="2:22" ht="14.5" x14ac:dyDescent="0.3">
      <c r="B48" s="94" t="s">
        <v>96</v>
      </c>
      <c r="C48" s="144">
        <v>0.35</v>
      </c>
      <c r="G48" s="7" t="s">
        <v>84</v>
      </c>
      <c r="H48" s="115">
        <f>H46*I48</f>
        <v>1394.4000000000003</v>
      </c>
      <c r="I48" s="122">
        <v>0.1</v>
      </c>
      <c r="K48" s="241"/>
      <c r="L48" s="121" t="s">
        <v>101</v>
      </c>
      <c r="M48" s="244"/>
      <c r="N48" s="244"/>
      <c r="O48" s="179"/>
    </row>
    <row r="49" spans="7:15" ht="14.5" x14ac:dyDescent="0.3">
      <c r="G49" s="7" t="s">
        <v>86</v>
      </c>
      <c r="H49" s="123">
        <f>H48*12</f>
        <v>16732.800000000003</v>
      </c>
      <c r="I49" s="116" t="s">
        <v>78</v>
      </c>
      <c r="K49" s="241"/>
      <c r="L49" s="121" t="s">
        <v>102</v>
      </c>
      <c r="M49" s="244"/>
      <c r="N49" s="244"/>
      <c r="O49" s="179"/>
    </row>
    <row r="50" spans="7:15" ht="14.5" x14ac:dyDescent="0.3">
      <c r="K50" s="241"/>
      <c r="L50" s="121" t="s">
        <v>103</v>
      </c>
      <c r="M50" s="244"/>
      <c r="N50" s="244"/>
      <c r="O50" s="179"/>
    </row>
    <row r="51" spans="7:15" ht="15" thickBot="1" x14ac:dyDescent="0.4">
      <c r="G51" s="124" t="s">
        <v>87</v>
      </c>
      <c r="H51" s="125">
        <f>(H46+H49)/H43</f>
        <v>29.957812500000003</v>
      </c>
      <c r="I51" s="126" t="s">
        <v>85</v>
      </c>
      <c r="K51" s="242"/>
      <c r="L51" s="127" t="s">
        <v>104</v>
      </c>
      <c r="M51" s="245"/>
      <c r="N51" s="245"/>
      <c r="O51" s="179"/>
    </row>
    <row r="52" spans="7:15" ht="13.5" thickBot="1" x14ac:dyDescent="0.35">
      <c r="K52" s="128">
        <v>0</v>
      </c>
      <c r="L52" s="129" t="s">
        <v>105</v>
      </c>
      <c r="M52" s="130">
        <v>5000</v>
      </c>
      <c r="N52" s="130">
        <f>M52*K52</f>
        <v>0</v>
      </c>
      <c r="O52" s="180"/>
    </row>
    <row r="53" spans="7:15" ht="13.5" thickBot="1" x14ac:dyDescent="0.35">
      <c r="K53" s="128">
        <v>0</v>
      </c>
      <c r="L53" s="129" t="s">
        <v>106</v>
      </c>
      <c r="M53" s="130">
        <v>9900</v>
      </c>
      <c r="N53" s="130">
        <f>M53*K53</f>
        <v>0</v>
      </c>
      <c r="O53" s="180"/>
    </row>
    <row r="54" spans="7:15" ht="13.5" thickBot="1" x14ac:dyDescent="0.35">
      <c r="O54" s="181"/>
    </row>
    <row r="55" spans="7:15" ht="13.5" thickBot="1" x14ac:dyDescent="0.35">
      <c r="M55" s="22" t="s">
        <v>0</v>
      </c>
      <c r="N55" s="130">
        <f>SUM(N46:N53)</f>
        <v>0</v>
      </c>
      <c r="O55" s="180"/>
    </row>
    <row r="56" spans="7:15" x14ac:dyDescent="0.3">
      <c r="O56" s="181"/>
    </row>
    <row r="57" spans="7:15" ht="13.5" thickBot="1" x14ac:dyDescent="0.35">
      <c r="O57" s="181"/>
    </row>
    <row r="58" spans="7:15" ht="14.5" x14ac:dyDescent="0.35">
      <c r="K58" s="225" t="s">
        <v>109</v>
      </c>
      <c r="L58" s="226"/>
      <c r="M58" s="226"/>
      <c r="N58" s="227"/>
      <c r="O58" s="182"/>
    </row>
    <row r="59" spans="7:15" ht="14.5" x14ac:dyDescent="0.35">
      <c r="K59" s="228" t="s">
        <v>110</v>
      </c>
      <c r="L59" s="229"/>
      <c r="M59" s="229"/>
      <c r="N59" s="230"/>
      <c r="O59" s="182"/>
    </row>
    <row r="60" spans="7:15" ht="15" thickBot="1" x14ac:dyDescent="0.4">
      <c r="K60" s="231" t="s">
        <v>130</v>
      </c>
      <c r="L60" s="232"/>
      <c r="M60" s="232"/>
      <c r="N60" s="233"/>
      <c r="O60" s="182"/>
    </row>
    <row r="61" spans="7:15" ht="13.5" thickBot="1" x14ac:dyDescent="0.35">
      <c r="K61" s="118" t="s">
        <v>39</v>
      </c>
      <c r="L61" s="118" t="s">
        <v>111</v>
      </c>
      <c r="M61" s="118" t="s">
        <v>112</v>
      </c>
      <c r="N61" s="118" t="s">
        <v>113</v>
      </c>
      <c r="O61" s="178"/>
    </row>
    <row r="62" spans="7:15" x14ac:dyDescent="0.3">
      <c r="K62" s="131">
        <v>0</v>
      </c>
      <c r="L62" s="132" t="s">
        <v>114</v>
      </c>
      <c r="M62" s="133" t="s">
        <v>115</v>
      </c>
      <c r="N62" s="134">
        <v>0</v>
      </c>
      <c r="O62" s="174"/>
    </row>
    <row r="63" spans="7:15" x14ac:dyDescent="0.3">
      <c r="K63" s="131">
        <v>0</v>
      </c>
      <c r="L63" s="135" t="s">
        <v>116</v>
      </c>
      <c r="M63" s="131" t="s">
        <v>117</v>
      </c>
      <c r="N63" s="136">
        <v>859.68</v>
      </c>
      <c r="O63" s="174"/>
    </row>
    <row r="64" spans="7:15" x14ac:dyDescent="0.3">
      <c r="K64" s="131">
        <v>0</v>
      </c>
      <c r="L64" s="135" t="s">
        <v>118</v>
      </c>
      <c r="M64" s="131" t="s">
        <v>119</v>
      </c>
      <c r="N64" s="136">
        <v>15703</v>
      </c>
      <c r="O64" s="174"/>
    </row>
    <row r="65" spans="11:15" x14ac:dyDescent="0.3">
      <c r="K65" s="131">
        <v>0</v>
      </c>
      <c r="L65" s="135" t="s">
        <v>120</v>
      </c>
      <c r="M65" s="131" t="s">
        <v>121</v>
      </c>
      <c r="N65" s="136">
        <v>0</v>
      </c>
      <c r="O65" s="174"/>
    </row>
    <row r="66" spans="11:15" x14ac:dyDescent="0.3">
      <c r="K66" s="131">
        <v>0</v>
      </c>
      <c r="L66" s="135" t="s">
        <v>122</v>
      </c>
      <c r="M66" s="131" t="s">
        <v>123</v>
      </c>
      <c r="N66" s="136">
        <v>520.48</v>
      </c>
      <c r="O66" s="174"/>
    </row>
    <row r="67" spans="11:15" x14ac:dyDescent="0.3">
      <c r="K67" s="131">
        <v>0</v>
      </c>
      <c r="L67" s="135" t="s">
        <v>124</v>
      </c>
      <c r="M67" s="131" t="s">
        <v>125</v>
      </c>
      <c r="N67" s="136">
        <v>3920</v>
      </c>
      <c r="O67" s="174"/>
    </row>
    <row r="68" spans="11:15" ht="13.5" thickBot="1" x14ac:dyDescent="0.35">
      <c r="K68" s="137">
        <v>0</v>
      </c>
      <c r="L68" s="138" t="s">
        <v>126</v>
      </c>
      <c r="M68" s="137" t="s">
        <v>127</v>
      </c>
      <c r="N68" s="139">
        <v>595</v>
      </c>
      <c r="O68" s="174"/>
    </row>
    <row r="69" spans="11:15" ht="13.5" thickBot="1" x14ac:dyDescent="0.35"/>
    <row r="70" spans="11:15" ht="15" thickBot="1" x14ac:dyDescent="0.35">
      <c r="M70" s="140" t="s">
        <v>0</v>
      </c>
      <c r="N70" s="130">
        <f>SUM(N62:N69)</f>
        <v>21598.16</v>
      </c>
      <c r="O70" s="175"/>
    </row>
    <row r="71" spans="11:15" ht="13.5" thickBot="1" x14ac:dyDescent="0.35"/>
    <row r="72" spans="11:15" ht="15" thickBot="1" x14ac:dyDescent="0.35">
      <c r="M72" s="140" t="s">
        <v>131</v>
      </c>
      <c r="N72" s="141">
        <v>1000000</v>
      </c>
      <c r="O72" s="176"/>
    </row>
    <row r="73" spans="11:15" ht="13.5" thickBot="1" x14ac:dyDescent="0.35"/>
    <row r="74" spans="11:15" ht="15" thickBot="1" x14ac:dyDescent="0.35">
      <c r="M74" s="142" t="s">
        <v>132</v>
      </c>
      <c r="N74" s="143">
        <f>N70/N72</f>
        <v>2.1598159999999998E-2</v>
      </c>
      <c r="O74" s="177"/>
    </row>
  </sheetData>
  <mergeCells count="27">
    <mergeCell ref="P41:Q41"/>
    <mergeCell ref="T38:U38"/>
    <mergeCell ref="T39:U39"/>
    <mergeCell ref="P29:Q29"/>
    <mergeCell ref="P21:Q21"/>
    <mergeCell ref="L2:M2"/>
    <mergeCell ref="P2:Q2"/>
    <mergeCell ref="B5:F5"/>
    <mergeCell ref="L9:M9"/>
    <mergeCell ref="L25:M25"/>
    <mergeCell ref="C6:D6"/>
    <mergeCell ref="C14:D14"/>
    <mergeCell ref="T10:U10"/>
    <mergeCell ref="L31:M31"/>
    <mergeCell ref="P16:Q16"/>
    <mergeCell ref="B13:F13"/>
    <mergeCell ref="L36:M36"/>
    <mergeCell ref="B22:F22"/>
    <mergeCell ref="T31:V31"/>
    <mergeCell ref="T32:U3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2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00000000-0002-0000-0000-000000000000}">
      <formula1>$C$26:$C$33</formula1>
    </dataValidation>
    <dataValidation type="list" allowBlank="1" showInputMessage="1" showErrorMessage="1" sqref="H39" xr:uid="{00000000-0002-0000-0000-000001000000}">
      <formula1>$H$29:$H$30</formula1>
    </dataValidation>
    <dataValidation type="list" allowBlank="1" showInputMessage="1" showErrorMessage="1" sqref="H38" xr:uid="{00000000-0002-0000-0000-000002000000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74"/>
  <sheetViews>
    <sheetView showGridLines="0" zoomScale="70" zoomScaleNormal="70" workbookViewId="0">
      <selection activeCell="M11" sqref="M11"/>
    </sheetView>
  </sheetViews>
  <sheetFormatPr baseColWidth="10" defaultColWidth="8.7265625" defaultRowHeight="13" x14ac:dyDescent="0.3"/>
  <cols>
    <col min="1" max="1" width="7.81640625" style="1" customWidth="1"/>
    <col min="2" max="2" width="26.1796875" style="1" bestFit="1" customWidth="1"/>
    <col min="3" max="3" width="9.81640625" style="1" bestFit="1" customWidth="1"/>
    <col min="4" max="4" width="10.1796875" style="1" customWidth="1"/>
    <col min="5" max="5" width="16" style="1" bestFit="1" customWidth="1"/>
    <col min="6" max="6" width="20.54296875" style="1" customWidth="1"/>
    <col min="7" max="7" width="17.54296875" style="1" bestFit="1" customWidth="1"/>
    <col min="8" max="8" width="12.453125" style="1" bestFit="1" customWidth="1"/>
    <col min="9" max="9" width="4.54296875" style="1" bestFit="1" customWidth="1"/>
    <col min="10" max="11" width="12" style="1" customWidth="1"/>
    <col min="12" max="12" width="43.54296875" style="1" customWidth="1"/>
    <col min="13" max="13" width="22.453125" style="1" bestFit="1" customWidth="1"/>
    <col min="14" max="14" width="11" style="1" bestFit="1" customWidth="1"/>
    <col min="15" max="15" width="11" style="1" customWidth="1"/>
    <col min="16" max="16" width="34.81640625" style="1" customWidth="1"/>
    <col min="17" max="17" width="25.26953125" style="1" customWidth="1"/>
    <col min="18" max="18" width="4.1796875" style="1" bestFit="1" customWidth="1"/>
    <col min="19" max="19" width="10.453125" style="1" customWidth="1"/>
    <col min="20" max="20" width="19.453125" style="1" customWidth="1"/>
    <col min="21" max="21" width="17.7265625" style="1" bestFit="1" customWidth="1"/>
    <col min="22" max="22" width="13.54296875" style="1" bestFit="1" customWidth="1"/>
    <col min="23" max="23" width="12.81640625" style="1" customWidth="1"/>
    <col min="24" max="24" width="13.1796875" style="1" customWidth="1"/>
    <col min="25" max="26" width="8.7265625" style="1"/>
    <col min="27" max="27" width="9.7265625" style="1" customWidth="1"/>
    <col min="28" max="16384" width="8.7265625" style="1"/>
  </cols>
  <sheetData>
    <row r="1" spans="1:29" ht="13.5" thickBot="1" x14ac:dyDescent="0.35">
      <c r="U1" s="2" t="s">
        <v>21</v>
      </c>
      <c r="V1" s="2" t="s">
        <v>22</v>
      </c>
      <c r="W1" s="2" t="s">
        <v>23</v>
      </c>
      <c r="X1" s="2" t="s">
        <v>24</v>
      </c>
      <c r="Y1" s="2" t="s">
        <v>0</v>
      </c>
    </row>
    <row r="2" spans="1:29" ht="15" thickBot="1" x14ac:dyDescent="0.4">
      <c r="B2" s="3"/>
      <c r="C2" s="3"/>
      <c r="D2" s="4"/>
      <c r="E2" s="5"/>
      <c r="F2" s="6"/>
      <c r="L2" s="258" t="s">
        <v>7</v>
      </c>
      <c r="M2" s="259"/>
      <c r="P2" s="262" t="s">
        <v>8</v>
      </c>
      <c r="Q2" s="263"/>
      <c r="T2" s="1" t="s">
        <v>20</v>
      </c>
      <c r="U2" s="7">
        <v>1600</v>
      </c>
      <c r="V2" s="7">
        <v>3</v>
      </c>
      <c r="W2" s="7">
        <v>1</v>
      </c>
      <c r="X2" s="7">
        <f>V2</f>
        <v>3</v>
      </c>
      <c r="Y2" s="7">
        <f>U2/36*V2*W2</f>
        <v>133.33333333333331</v>
      </c>
    </row>
    <row r="3" spans="1:29" x14ac:dyDescent="0.3">
      <c r="G3" s="8"/>
      <c r="L3" s="9" t="s">
        <v>6</v>
      </c>
      <c r="M3" s="10">
        <f>V32</f>
        <v>386</v>
      </c>
      <c r="P3" s="11" t="s">
        <v>42</v>
      </c>
      <c r="Q3" s="12">
        <f>(2000/36)</f>
        <v>55.555555555555557</v>
      </c>
    </row>
    <row r="4" spans="1:29" ht="13.5" thickBot="1" x14ac:dyDescent="0.35">
      <c r="G4" s="13"/>
      <c r="H4" s="8"/>
      <c r="I4" s="8"/>
      <c r="J4" s="8"/>
      <c r="K4" s="8"/>
      <c r="L4" s="14" t="s">
        <v>9</v>
      </c>
      <c r="M4" s="15"/>
      <c r="P4" s="16" t="s">
        <v>140</v>
      </c>
      <c r="Q4" s="17">
        <f>(800/36)</f>
        <v>22.222222222222221</v>
      </c>
      <c r="U4" s="2" t="s">
        <v>26</v>
      </c>
      <c r="V4" s="2" t="s">
        <v>27</v>
      </c>
      <c r="W4" s="2" t="s">
        <v>22</v>
      </c>
      <c r="X4" s="2" t="s">
        <v>0</v>
      </c>
    </row>
    <row r="5" spans="1:29" ht="13.5" thickBot="1" x14ac:dyDescent="0.35">
      <c r="B5" s="237" t="s">
        <v>50</v>
      </c>
      <c r="C5" s="238"/>
      <c r="D5" s="238"/>
      <c r="E5" s="238"/>
      <c r="F5" s="239"/>
      <c r="G5" s="18"/>
      <c r="L5" s="19" t="s">
        <v>10</v>
      </c>
      <c r="M5" s="20">
        <f>V38</f>
        <v>159.48233333333332</v>
      </c>
      <c r="P5" s="16" t="s">
        <v>18</v>
      </c>
      <c r="Q5" s="17">
        <v>50</v>
      </c>
      <c r="T5" s="1" t="s">
        <v>25</v>
      </c>
      <c r="U5" s="7">
        <v>600</v>
      </c>
      <c r="V5" s="7">
        <f>W2</f>
        <v>1</v>
      </c>
      <c r="W5" s="7">
        <f>X2</f>
        <v>3</v>
      </c>
      <c r="X5" s="21">
        <f>U5/36*V5*W5</f>
        <v>50</v>
      </c>
    </row>
    <row r="6" spans="1:29" ht="15.75" customHeight="1" thickBot="1" x14ac:dyDescent="0.35">
      <c r="B6" s="22" t="s">
        <v>3</v>
      </c>
      <c r="C6" s="256" t="s">
        <v>45</v>
      </c>
      <c r="D6" s="257"/>
      <c r="E6" s="22" t="s">
        <v>46</v>
      </c>
      <c r="F6" s="145" t="s">
        <v>4</v>
      </c>
      <c r="L6" s="24" t="s">
        <v>129</v>
      </c>
      <c r="M6" s="25">
        <f>V5</f>
        <v>1</v>
      </c>
      <c r="P6" s="16"/>
      <c r="Q6" s="17"/>
      <c r="W6" s="26"/>
    </row>
    <row r="7" spans="1:29" ht="13.5" thickBot="1" x14ac:dyDescent="0.35">
      <c r="A7" s="18"/>
      <c r="B7" s="27" t="s">
        <v>44</v>
      </c>
      <c r="C7" s="28">
        <v>5150</v>
      </c>
      <c r="D7" s="29" t="s">
        <v>47</v>
      </c>
      <c r="E7" s="30">
        <f>M42</f>
        <v>0.1708646514463156</v>
      </c>
      <c r="F7" s="31">
        <f>E7*C7</f>
        <v>879.9529549485253</v>
      </c>
      <c r="L7" s="189" t="s">
        <v>159</v>
      </c>
      <c r="M7" s="190">
        <f>SUM(M3:M5)*M6</f>
        <v>545.48233333333337</v>
      </c>
      <c r="P7" s="16"/>
      <c r="Q7" s="17"/>
    </row>
    <row r="8" spans="1:29" ht="13.5" thickBot="1" x14ac:dyDescent="0.35">
      <c r="B8" s="33" t="s">
        <v>43</v>
      </c>
      <c r="C8" s="33"/>
      <c r="D8" s="34"/>
      <c r="E8" s="35"/>
      <c r="F8" s="36"/>
      <c r="P8" s="16"/>
      <c r="Q8" s="17"/>
    </row>
    <row r="9" spans="1:29" ht="15" thickBot="1" x14ac:dyDescent="0.4">
      <c r="B9" s="37"/>
      <c r="C9" s="37"/>
      <c r="D9" s="37"/>
      <c r="E9" s="38" t="s">
        <v>2</v>
      </c>
      <c r="F9" s="39">
        <f>SUM(F7:F8)</f>
        <v>879.9529549485253</v>
      </c>
      <c r="L9" s="264" t="s">
        <v>160</v>
      </c>
      <c r="M9" s="265"/>
      <c r="P9" s="16"/>
      <c r="Q9" s="17"/>
    </row>
    <row r="10" spans="1:29" ht="15" thickBot="1" x14ac:dyDescent="0.4">
      <c r="B10" s="37"/>
      <c r="C10" s="37"/>
      <c r="D10" s="37"/>
      <c r="E10" s="38" t="s">
        <v>1</v>
      </c>
      <c r="F10" s="40">
        <f>F9*G10</f>
        <v>105.59435459382303</v>
      </c>
      <c r="G10" s="173">
        <v>0.12</v>
      </c>
      <c r="L10" s="41" t="s">
        <v>133</v>
      </c>
      <c r="M10" s="191">
        <f>M7</f>
        <v>545.48233333333337</v>
      </c>
      <c r="N10" s="42"/>
      <c r="O10" s="42"/>
      <c r="P10" s="16"/>
      <c r="Q10" s="17"/>
      <c r="R10" s="18"/>
      <c r="S10" s="18"/>
      <c r="T10" s="260" t="s">
        <v>19</v>
      </c>
      <c r="U10" s="249"/>
      <c r="W10" s="2" t="s">
        <v>28</v>
      </c>
      <c r="X10" s="2" t="s">
        <v>29</v>
      </c>
      <c r="Y10" s="2" t="s">
        <v>30</v>
      </c>
      <c r="Z10" s="2" t="s">
        <v>0</v>
      </c>
      <c r="AA10" s="43" t="s">
        <v>37</v>
      </c>
      <c r="AB10" s="43" t="s">
        <v>0</v>
      </c>
    </row>
    <row r="11" spans="1:29" ht="13.5" thickBot="1" x14ac:dyDescent="0.35">
      <c r="B11" s="44"/>
      <c r="C11" s="37"/>
      <c r="D11" s="37"/>
      <c r="E11" s="45" t="s">
        <v>0</v>
      </c>
      <c r="F11" s="46">
        <f>SUM(F9:F10)</f>
        <v>985.54730954234833</v>
      </c>
      <c r="L11" s="47" t="s">
        <v>134</v>
      </c>
      <c r="M11" s="203">
        <v>9</v>
      </c>
      <c r="N11" s="42"/>
      <c r="O11" s="42"/>
      <c r="P11" s="16"/>
      <c r="Q11" s="17"/>
      <c r="T11" s="11"/>
      <c r="U11" s="48">
        <v>0</v>
      </c>
      <c r="W11" s="7"/>
      <c r="X11" s="7"/>
      <c r="Y11" s="7"/>
      <c r="Z11" s="7"/>
      <c r="AA11" s="7"/>
      <c r="AB11" s="49"/>
    </row>
    <row r="12" spans="1:29" ht="13.5" thickBot="1" x14ac:dyDescent="0.35">
      <c r="C12" s="8"/>
      <c r="D12" s="8"/>
      <c r="L12" s="50" t="s">
        <v>135</v>
      </c>
      <c r="M12" s="200">
        <f>+(M10/22)*M11</f>
        <v>223.15186363636366</v>
      </c>
      <c r="N12" s="42"/>
      <c r="O12" s="42"/>
      <c r="P12" s="16"/>
      <c r="Q12" s="17"/>
      <c r="T12" s="51"/>
      <c r="U12" s="52">
        <v>0</v>
      </c>
    </row>
    <row r="13" spans="1:29" ht="13.5" thickBot="1" x14ac:dyDescent="0.35">
      <c r="B13" s="237" t="s">
        <v>40</v>
      </c>
      <c r="C13" s="238"/>
      <c r="D13" s="238"/>
      <c r="E13" s="238"/>
      <c r="F13" s="239"/>
      <c r="L13" s="53" t="s">
        <v>136</v>
      </c>
      <c r="M13" s="192">
        <v>0</v>
      </c>
      <c r="N13" s="42"/>
      <c r="O13" s="42"/>
      <c r="P13" s="32"/>
      <c r="Q13" s="17"/>
      <c r="T13" s="51"/>
      <c r="U13" s="52">
        <v>0</v>
      </c>
      <c r="W13" s="2" t="s">
        <v>31</v>
      </c>
      <c r="X13" s="2" t="s">
        <v>29</v>
      </c>
      <c r="Y13" s="2" t="s">
        <v>32</v>
      </c>
      <c r="Z13" s="2" t="s">
        <v>30</v>
      </c>
      <c r="AA13" s="2" t="s">
        <v>0</v>
      </c>
      <c r="AB13" s="43" t="s">
        <v>38</v>
      </c>
      <c r="AC13" s="43" t="s">
        <v>0</v>
      </c>
    </row>
    <row r="14" spans="1:29" ht="15.75" customHeight="1" thickBot="1" x14ac:dyDescent="0.35">
      <c r="B14" s="22" t="s">
        <v>41</v>
      </c>
      <c r="C14" s="256" t="s">
        <v>49</v>
      </c>
      <c r="D14" s="257"/>
      <c r="E14" s="22" t="s">
        <v>46</v>
      </c>
      <c r="F14" s="145" t="s">
        <v>4</v>
      </c>
      <c r="L14" s="54" t="s">
        <v>134</v>
      </c>
      <c r="M14" s="193">
        <v>0</v>
      </c>
      <c r="N14" s="55"/>
      <c r="O14" s="55"/>
      <c r="P14" s="56" t="s">
        <v>0</v>
      </c>
      <c r="Q14" s="57">
        <f>SUM(Q3:Q4:Q5)+U25</f>
        <v>127.77777777777777</v>
      </c>
      <c r="T14" s="51"/>
      <c r="U14" s="52">
        <v>0</v>
      </c>
      <c r="W14" s="7"/>
      <c r="X14" s="7"/>
      <c r="Y14" s="7"/>
      <c r="Z14" s="7"/>
      <c r="AA14" s="7"/>
      <c r="AB14" s="49"/>
      <c r="AC14" s="49"/>
    </row>
    <row r="15" spans="1:29" ht="13.5" thickBot="1" x14ac:dyDescent="0.35">
      <c r="B15" s="58" t="s">
        <v>40</v>
      </c>
      <c r="C15" s="59">
        <f>H51</f>
        <v>96.426708984375011</v>
      </c>
      <c r="D15" s="60" t="s">
        <v>48</v>
      </c>
      <c r="E15" s="61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1.8</v>
      </c>
      <c r="F15" s="39">
        <f>C15*E15</f>
        <v>173.56807617187502</v>
      </c>
      <c r="L15" s="62" t="s">
        <v>135</v>
      </c>
      <c r="M15" s="194">
        <f>+(M13/22)*M14</f>
        <v>0</v>
      </c>
      <c r="N15" s="8"/>
      <c r="O15" s="8"/>
      <c r="T15" s="51"/>
      <c r="U15" s="52">
        <v>0</v>
      </c>
    </row>
    <row r="16" spans="1:29" ht="15" thickBot="1" x14ac:dyDescent="0.4">
      <c r="B16" s="33"/>
      <c r="C16" s="33"/>
      <c r="D16" s="34"/>
      <c r="E16" s="35"/>
      <c r="F16" s="63"/>
      <c r="L16" s="64" t="s">
        <v>137</v>
      </c>
      <c r="M16" s="195">
        <v>0</v>
      </c>
      <c r="P16" s="258" t="s">
        <v>164</v>
      </c>
      <c r="Q16" s="259"/>
      <c r="T16" s="51"/>
      <c r="U16" s="52">
        <v>0</v>
      </c>
      <c r="W16" s="2" t="s">
        <v>33</v>
      </c>
      <c r="X16" s="2" t="s">
        <v>29</v>
      </c>
      <c r="Y16" s="65" t="s">
        <v>34</v>
      </c>
      <c r="Z16" s="2" t="s">
        <v>36</v>
      </c>
      <c r="AA16" s="43" t="s">
        <v>35</v>
      </c>
      <c r="AB16" s="43" t="s">
        <v>38</v>
      </c>
      <c r="AC16" s="43" t="s">
        <v>0</v>
      </c>
    </row>
    <row r="17" spans="2:29" x14ac:dyDescent="0.3">
      <c r="B17" s="37"/>
      <c r="C17" s="37"/>
      <c r="D17" s="37"/>
      <c r="E17" s="38" t="s">
        <v>2</v>
      </c>
      <c r="F17" s="39">
        <f>SUM(F15:F16)</f>
        <v>173.56807617187502</v>
      </c>
      <c r="L17" s="66" t="s">
        <v>134</v>
      </c>
      <c r="M17" s="196">
        <v>0</v>
      </c>
      <c r="N17" s="18"/>
      <c r="O17" s="18"/>
      <c r="P17" s="153" t="s">
        <v>165</v>
      </c>
      <c r="Q17" s="68">
        <v>0.15</v>
      </c>
      <c r="T17" s="51"/>
      <c r="U17" s="52">
        <v>0</v>
      </c>
      <c r="W17" s="7"/>
      <c r="X17" s="69"/>
      <c r="Y17" s="69"/>
      <c r="Z17" s="69"/>
      <c r="AA17" s="69"/>
      <c r="AB17" s="70"/>
      <c r="AC17" s="49">
        <f>AA17*AB17</f>
        <v>0</v>
      </c>
    </row>
    <row r="18" spans="2:29" ht="13.5" thickBot="1" x14ac:dyDescent="0.35">
      <c r="B18" s="37"/>
      <c r="C18" s="37"/>
      <c r="D18" s="37"/>
      <c r="E18" s="38" t="s">
        <v>1</v>
      </c>
      <c r="F18" s="40">
        <f>F17*G18</f>
        <v>20.828169140625</v>
      </c>
      <c r="G18" s="173">
        <v>0.12</v>
      </c>
      <c r="L18" s="71" t="s">
        <v>135</v>
      </c>
      <c r="M18" s="201">
        <f>+(M16/22)*M17</f>
        <v>0</v>
      </c>
      <c r="P18" s="189" t="s">
        <v>13</v>
      </c>
      <c r="Q18" s="206">
        <f>((M34)+((M34)*Q27))*Q17</f>
        <v>97.053634736969698</v>
      </c>
      <c r="T18" s="74"/>
      <c r="U18" s="75">
        <v>0</v>
      </c>
    </row>
    <row r="19" spans="2:29" ht="13.5" thickBot="1" x14ac:dyDescent="0.35">
      <c r="B19" s="44"/>
      <c r="C19" s="37"/>
      <c r="D19" s="37"/>
      <c r="E19" s="45" t="s">
        <v>0</v>
      </c>
      <c r="F19" s="46">
        <f>SUM(F17:F18)</f>
        <v>194.39624531250001</v>
      </c>
      <c r="L19" s="76" t="s">
        <v>138</v>
      </c>
      <c r="M19" s="197">
        <v>0</v>
      </c>
      <c r="W19" s="2" t="s">
        <v>33</v>
      </c>
      <c r="X19" s="2" t="s">
        <v>29</v>
      </c>
      <c r="Y19" s="65" t="s">
        <v>34</v>
      </c>
      <c r="Z19" s="2" t="s">
        <v>36</v>
      </c>
      <c r="AA19" s="43" t="s">
        <v>35</v>
      </c>
      <c r="AB19" s="43" t="s">
        <v>38</v>
      </c>
      <c r="AC19" s="43" t="s">
        <v>0</v>
      </c>
    </row>
    <row r="20" spans="2:29" ht="13.5" thickBot="1" x14ac:dyDescent="0.35">
      <c r="B20" s="77"/>
      <c r="C20" s="77"/>
      <c r="D20" s="77"/>
      <c r="E20" s="78"/>
      <c r="F20" s="79"/>
      <c r="L20" s="80" t="s">
        <v>134</v>
      </c>
      <c r="M20" s="198">
        <v>0</v>
      </c>
      <c r="W20" s="7"/>
      <c r="X20" s="69"/>
      <c r="Y20" s="69"/>
      <c r="Z20" s="69"/>
      <c r="AA20" s="69"/>
      <c r="AB20" s="70"/>
      <c r="AC20" s="49">
        <f>AA20*AB20</f>
        <v>0</v>
      </c>
    </row>
    <row r="21" spans="2:29" ht="15" thickBot="1" x14ac:dyDescent="0.4">
      <c r="B21" s="77"/>
      <c r="C21" s="77"/>
      <c r="D21" s="77"/>
      <c r="E21" s="78"/>
      <c r="F21" s="79"/>
      <c r="L21" s="81" t="s">
        <v>135</v>
      </c>
      <c r="M21" s="202">
        <f>+(M19/22)*M20</f>
        <v>0</v>
      </c>
      <c r="P21" s="260" t="s">
        <v>11</v>
      </c>
      <c r="Q21" s="249"/>
    </row>
    <row r="22" spans="2:29" ht="13.5" thickBot="1" x14ac:dyDescent="0.35">
      <c r="B22" s="261"/>
      <c r="C22" s="261"/>
      <c r="D22" s="261"/>
      <c r="E22" s="261"/>
      <c r="F22" s="261"/>
      <c r="L22" s="56" t="s">
        <v>0</v>
      </c>
      <c r="M22" s="199">
        <f>+M18+M21+M15+M12</f>
        <v>223.15186363636366</v>
      </c>
      <c r="P22" s="67" t="s">
        <v>12</v>
      </c>
      <c r="Q22" s="68">
        <v>0.13</v>
      </c>
    </row>
    <row r="23" spans="2:29" ht="15" thickBot="1" x14ac:dyDescent="0.4">
      <c r="B23" s="82" t="s">
        <v>51</v>
      </c>
      <c r="C23" s="146"/>
      <c r="D23" s="146"/>
      <c r="E23" s="146"/>
      <c r="F23" s="146"/>
      <c r="P23" s="72" t="s">
        <v>13</v>
      </c>
      <c r="Q23" s="73">
        <f>(M37+M38)*Q22</f>
        <v>101.77691162750223</v>
      </c>
    </row>
    <row r="24" spans="2:29" ht="13.5" thickBot="1" x14ac:dyDescent="0.35"/>
    <row r="25" spans="2:29" ht="15" thickBot="1" x14ac:dyDescent="0.4">
      <c r="B25" s="84" t="s">
        <v>41</v>
      </c>
      <c r="C25" s="85" t="s">
        <v>68</v>
      </c>
      <c r="D25" s="85" t="s">
        <v>53</v>
      </c>
      <c r="E25" s="86" t="s">
        <v>72</v>
      </c>
      <c r="F25" s="87" t="s">
        <v>54</v>
      </c>
      <c r="G25" s="86" t="s">
        <v>63</v>
      </c>
      <c r="H25" s="85" t="s">
        <v>52</v>
      </c>
      <c r="L25" s="258" t="s">
        <v>157</v>
      </c>
      <c r="M25" s="259"/>
      <c r="P25" s="88" t="s">
        <v>5</v>
      </c>
      <c r="Q25" s="89">
        <f>C7</f>
        <v>5150</v>
      </c>
      <c r="T25" s="56" t="s">
        <v>0</v>
      </c>
      <c r="U25" s="90">
        <f>SUM(U11:U18)</f>
        <v>0</v>
      </c>
    </row>
    <row r="26" spans="2:29" ht="13.5" thickBot="1" x14ac:dyDescent="0.35">
      <c r="B26" s="91" t="s">
        <v>69</v>
      </c>
      <c r="C26" s="91" t="s">
        <v>65</v>
      </c>
      <c r="D26" s="91" t="s">
        <v>55</v>
      </c>
      <c r="E26" s="92">
        <v>14.7</v>
      </c>
      <c r="F26" s="93" t="s">
        <v>58</v>
      </c>
      <c r="G26" s="94" t="s">
        <v>59</v>
      </c>
      <c r="H26" s="91" t="s">
        <v>61</v>
      </c>
      <c r="L26" s="11" t="s">
        <v>108</v>
      </c>
      <c r="M26" s="95">
        <f>N55</f>
        <v>0</v>
      </c>
      <c r="P26" s="96"/>
    </row>
    <row r="27" spans="2:29" ht="13.5" thickBot="1" x14ac:dyDescent="0.35">
      <c r="B27" s="91" t="s">
        <v>69</v>
      </c>
      <c r="C27" s="91" t="s">
        <v>66</v>
      </c>
      <c r="D27" s="91" t="s">
        <v>55</v>
      </c>
      <c r="E27" s="92">
        <v>7.4</v>
      </c>
      <c r="F27" s="93" t="s">
        <v>58</v>
      </c>
      <c r="G27" s="94" t="s">
        <v>59</v>
      </c>
      <c r="H27" s="91" t="s">
        <v>61</v>
      </c>
      <c r="L27" s="51" t="s">
        <v>128</v>
      </c>
      <c r="M27" s="97">
        <f>N74*C7</f>
        <v>111.23052399999999</v>
      </c>
      <c r="P27" s="88" t="s">
        <v>15</v>
      </c>
      <c r="Q27" s="98">
        <v>0.4</v>
      </c>
      <c r="T27" s="56"/>
    </row>
    <row r="28" spans="2:29" ht="13.5" thickBot="1" x14ac:dyDescent="0.35">
      <c r="B28" s="91" t="s">
        <v>69</v>
      </c>
      <c r="C28" s="91" t="s">
        <v>67</v>
      </c>
      <c r="D28" s="91" t="s">
        <v>56</v>
      </c>
      <c r="E28" s="92">
        <v>8.3000000000000007</v>
      </c>
      <c r="F28" s="93" t="s">
        <v>58</v>
      </c>
      <c r="G28" s="94" t="s">
        <v>59</v>
      </c>
      <c r="H28" s="91" t="s">
        <v>61</v>
      </c>
      <c r="L28" s="74"/>
      <c r="M28" s="99"/>
    </row>
    <row r="29" spans="2:29" ht="13.5" thickBot="1" x14ac:dyDescent="0.35">
      <c r="B29" s="91" t="s">
        <v>69</v>
      </c>
      <c r="C29" s="91" t="s">
        <v>73</v>
      </c>
      <c r="D29" s="91" t="s">
        <v>56</v>
      </c>
      <c r="E29" s="92">
        <v>11.8</v>
      </c>
      <c r="F29" s="93" t="s">
        <v>58</v>
      </c>
      <c r="G29" s="94" t="s">
        <v>59</v>
      </c>
      <c r="H29" s="91" t="s">
        <v>61</v>
      </c>
      <c r="L29" s="56" t="s">
        <v>0</v>
      </c>
      <c r="M29" s="188">
        <f>SUM(M26:M28)</f>
        <v>111.23052399999999</v>
      </c>
      <c r="P29" s="246" t="s">
        <v>149</v>
      </c>
      <c r="Q29" s="247"/>
    </row>
    <row r="30" spans="2:29" ht="13.5" thickBot="1" x14ac:dyDescent="0.35">
      <c r="B30" s="91" t="s">
        <v>70</v>
      </c>
      <c r="C30" s="91" t="s">
        <v>74</v>
      </c>
      <c r="D30" s="91" t="s">
        <v>55</v>
      </c>
      <c r="E30" s="92">
        <v>44</v>
      </c>
      <c r="F30" s="93" t="s">
        <v>57</v>
      </c>
      <c r="G30" s="94" t="s">
        <v>60</v>
      </c>
      <c r="H30" s="91" t="s">
        <v>62</v>
      </c>
      <c r="P30" s="207" t="s">
        <v>161</v>
      </c>
      <c r="Q30" s="208">
        <f>M22</f>
        <v>223.15186363636366</v>
      </c>
    </row>
    <row r="31" spans="2:29" ht="15" thickBot="1" x14ac:dyDescent="0.4">
      <c r="B31" s="91" t="s">
        <v>70</v>
      </c>
      <c r="C31" s="91" t="s">
        <v>75</v>
      </c>
      <c r="D31" s="91" t="s">
        <v>55</v>
      </c>
      <c r="E31" s="92">
        <v>22</v>
      </c>
      <c r="F31" s="93" t="s">
        <v>57</v>
      </c>
      <c r="G31" s="94" t="s">
        <v>60</v>
      </c>
      <c r="H31" s="91" t="s">
        <v>62</v>
      </c>
      <c r="L31" s="248" t="s">
        <v>156</v>
      </c>
      <c r="M31" s="249"/>
      <c r="P31" s="166" t="s">
        <v>162</v>
      </c>
      <c r="Q31" s="167">
        <f>M29</f>
        <v>111.23052399999999</v>
      </c>
      <c r="T31" s="248" t="s">
        <v>7</v>
      </c>
      <c r="U31" s="250"/>
      <c r="V31" s="251"/>
    </row>
    <row r="32" spans="2:29" ht="13.5" thickBot="1" x14ac:dyDescent="0.35">
      <c r="B32" s="91" t="s">
        <v>70</v>
      </c>
      <c r="C32" s="91" t="s">
        <v>76</v>
      </c>
      <c r="D32" s="91" t="s">
        <v>56</v>
      </c>
      <c r="E32" s="92">
        <v>24.9</v>
      </c>
      <c r="F32" s="93" t="s">
        <v>57</v>
      </c>
      <c r="G32" s="94" t="s">
        <v>60</v>
      </c>
      <c r="H32" s="91" t="s">
        <v>62</v>
      </c>
      <c r="L32" s="187" t="s">
        <v>158</v>
      </c>
      <c r="M32" s="100">
        <f>SUM(M29+M22)</f>
        <v>334.38238763636366</v>
      </c>
      <c r="P32" s="166" t="s">
        <v>8</v>
      </c>
      <c r="Q32" s="167">
        <f>M33</f>
        <v>127.77777777777777</v>
      </c>
      <c r="T32" s="234" t="s">
        <v>6</v>
      </c>
      <c r="U32" s="235"/>
      <c r="V32" s="10">
        <v>386</v>
      </c>
    </row>
    <row r="33" spans="2:22" ht="13.5" thickBot="1" x14ac:dyDescent="0.35">
      <c r="B33" s="91" t="s">
        <v>70</v>
      </c>
      <c r="C33" s="91" t="s">
        <v>77</v>
      </c>
      <c r="D33" s="91" t="s">
        <v>56</v>
      </c>
      <c r="E33" s="92">
        <v>28.1</v>
      </c>
      <c r="F33" s="93" t="s">
        <v>57</v>
      </c>
      <c r="G33" s="94" t="s">
        <v>60</v>
      </c>
      <c r="H33" s="91" t="s">
        <v>62</v>
      </c>
      <c r="L33" s="101" t="str">
        <f>P2</f>
        <v>Recursos Varios</v>
      </c>
      <c r="M33" s="102">
        <f>Q14</f>
        <v>127.77777777777777</v>
      </c>
      <c r="P33" s="166" t="s">
        <v>166</v>
      </c>
      <c r="Q33" s="167">
        <f>Q18</f>
        <v>97.053634736969698</v>
      </c>
      <c r="T33" s="153" t="s">
        <v>141</v>
      </c>
      <c r="U33" s="154">
        <v>12</v>
      </c>
      <c r="V33" s="155">
        <f>$V$32/U33</f>
        <v>32.166666666666664</v>
      </c>
    </row>
    <row r="34" spans="2:22" ht="15" thickBot="1" x14ac:dyDescent="0.4">
      <c r="B34" s="103"/>
      <c r="L34" s="56" t="s">
        <v>0</v>
      </c>
      <c r="M34" s="205">
        <f>SUM(M32:M33)</f>
        <v>462.16016541414143</v>
      </c>
      <c r="N34" s="204"/>
      <c r="T34" s="153" t="s">
        <v>142</v>
      </c>
      <c r="U34" s="154">
        <v>12</v>
      </c>
      <c r="V34" s="155">
        <f>(($V$32*U34)/U34)/U34</f>
        <v>32.166666666666664</v>
      </c>
    </row>
    <row r="35" spans="2:22" ht="13.5" thickBot="1" x14ac:dyDescent="0.35">
      <c r="P35" s="168" t="s">
        <v>150</v>
      </c>
      <c r="Q35" s="169">
        <f>SUM(Q30:Q34)</f>
        <v>559.21380015111117</v>
      </c>
      <c r="T35" s="153" t="s">
        <v>143</v>
      </c>
      <c r="U35" s="154">
        <v>24</v>
      </c>
      <c r="V35" s="155">
        <f>(($V$32*U34)/U35)/12</f>
        <v>16.083333333333332</v>
      </c>
    </row>
    <row r="36" spans="2:22" ht="15" thickBot="1" x14ac:dyDescent="0.4">
      <c r="G36" s="104" t="s">
        <v>71</v>
      </c>
      <c r="H36" s="105">
        <f>C7</f>
        <v>5150</v>
      </c>
      <c r="L36" s="252" t="s">
        <v>139</v>
      </c>
      <c r="M36" s="253"/>
      <c r="T36" s="156" t="s">
        <v>144</v>
      </c>
      <c r="U36" s="157">
        <v>12</v>
      </c>
      <c r="V36" s="158">
        <f>(($V$32*U36)/U36)/U36</f>
        <v>32.166666666666664</v>
      </c>
    </row>
    <row r="37" spans="2:22" ht="13.5" thickBot="1" x14ac:dyDescent="0.35">
      <c r="G37" s="106" t="s">
        <v>68</v>
      </c>
      <c r="H37" s="215" t="s">
        <v>67</v>
      </c>
      <c r="L37" s="186" t="s">
        <v>163</v>
      </c>
      <c r="M37" s="100">
        <f>M34+Q18</f>
        <v>559.21380015111117</v>
      </c>
      <c r="N37" s="108"/>
      <c r="O37" s="108"/>
      <c r="P37" s="170" t="s">
        <v>151</v>
      </c>
      <c r="Q37" s="171">
        <f>F7</f>
        <v>879.9529549485253</v>
      </c>
      <c r="T37" s="159" t="s">
        <v>145</v>
      </c>
      <c r="U37" s="160">
        <v>0.1215</v>
      </c>
      <c r="V37" s="161">
        <f>(V32*U37)</f>
        <v>46.899000000000001</v>
      </c>
    </row>
    <row r="38" spans="2:22" ht="13.5" thickBot="1" x14ac:dyDescent="0.35">
      <c r="G38" s="106" t="s">
        <v>53</v>
      </c>
      <c r="H38" s="107" t="s">
        <v>56</v>
      </c>
      <c r="L38" s="101" t="s">
        <v>14</v>
      </c>
      <c r="M38" s="109">
        <f>M37*Q27</f>
        <v>223.68552006044447</v>
      </c>
      <c r="Q38" s="13"/>
      <c r="T38" s="254" t="s">
        <v>146</v>
      </c>
      <c r="U38" s="255"/>
      <c r="V38" s="20">
        <f>SUM(V33:V37)</f>
        <v>159.48233333333332</v>
      </c>
    </row>
    <row r="39" spans="2:22" ht="13.5" thickBot="1" x14ac:dyDescent="0.35">
      <c r="B39" s="110" t="s">
        <v>94</v>
      </c>
      <c r="C39" s="110" t="s">
        <v>98</v>
      </c>
      <c r="G39" s="106" t="s">
        <v>52</v>
      </c>
      <c r="H39" s="107" t="s">
        <v>61</v>
      </c>
      <c r="P39" s="211" t="s">
        <v>152</v>
      </c>
      <c r="Q39" s="212">
        <f>Q37-Q35</f>
        <v>320.73915479741413</v>
      </c>
      <c r="T39" s="234" t="s">
        <v>147</v>
      </c>
      <c r="U39" s="235"/>
      <c r="V39" s="162">
        <f>V32+V38</f>
        <v>545.48233333333337</v>
      </c>
    </row>
    <row r="40" spans="2:22" ht="15" thickBot="1" x14ac:dyDescent="0.4">
      <c r="B40" s="94" t="s">
        <v>88</v>
      </c>
      <c r="C40" s="144">
        <v>1.8</v>
      </c>
      <c r="G40" s="111" t="s">
        <v>64</v>
      </c>
      <c r="H40" s="112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209"/>
      <c r="Q40" s="210"/>
      <c r="T40" s="163" t="s">
        <v>148</v>
      </c>
      <c r="U40" s="164">
        <v>1</v>
      </c>
      <c r="V40" s="165">
        <f>V39*U40</f>
        <v>545.48233333333337</v>
      </c>
    </row>
    <row r="41" spans="2:22" ht="13.5" thickBot="1" x14ac:dyDescent="0.35">
      <c r="B41" s="94" t="s">
        <v>89</v>
      </c>
      <c r="C41" s="144">
        <v>1.6</v>
      </c>
      <c r="L41" s="113" t="s">
        <v>16</v>
      </c>
      <c r="M41" s="114">
        <f>(M37+Q18)/Q25</f>
        <v>0.12743056988118076</v>
      </c>
      <c r="P41" s="236" t="s">
        <v>167</v>
      </c>
      <c r="Q41" s="236"/>
    </row>
    <row r="42" spans="2:22" ht="13.5" thickBot="1" x14ac:dyDescent="0.35">
      <c r="B42" s="94" t="s">
        <v>90</v>
      </c>
      <c r="C42" s="144">
        <v>1.4</v>
      </c>
      <c r="G42" s="7" t="s">
        <v>79</v>
      </c>
      <c r="H42" s="115">
        <f>H36*H40</f>
        <v>42745.000000000007</v>
      </c>
      <c r="I42" s="116" t="s">
        <v>78</v>
      </c>
      <c r="L42" s="113" t="s">
        <v>17</v>
      </c>
      <c r="M42" s="114">
        <f>(M37+M38+Q18)/Q25</f>
        <v>0.1708646514463156</v>
      </c>
      <c r="P42" s="166" t="s">
        <v>168</v>
      </c>
      <c r="Q42" s="172">
        <f>Q23</f>
        <v>101.77691162750223</v>
      </c>
    </row>
    <row r="43" spans="2:22" ht="13.5" thickBot="1" x14ac:dyDescent="0.35">
      <c r="B43" s="94" t="s">
        <v>91</v>
      </c>
      <c r="C43" s="144">
        <v>1.2</v>
      </c>
      <c r="G43" s="7" t="s">
        <v>80</v>
      </c>
      <c r="H43" s="115">
        <v>1024</v>
      </c>
      <c r="I43" s="116" t="s">
        <v>78</v>
      </c>
    </row>
    <row r="44" spans="2:22" ht="13.5" thickBot="1" x14ac:dyDescent="0.35">
      <c r="B44" s="94" t="s">
        <v>92</v>
      </c>
      <c r="C44" s="144">
        <v>1</v>
      </c>
      <c r="G44" s="7" t="s">
        <v>81</v>
      </c>
      <c r="H44" s="117">
        <v>0.05</v>
      </c>
      <c r="I44" s="116"/>
      <c r="K44" s="237" t="s">
        <v>107</v>
      </c>
      <c r="L44" s="238"/>
      <c r="M44" s="238"/>
      <c r="N44" s="239"/>
      <c r="O44" s="146"/>
      <c r="P44" s="166" t="s">
        <v>153</v>
      </c>
      <c r="Q44" s="183">
        <f>(Q42*R44)/Q22</f>
        <v>23.486979606346669</v>
      </c>
      <c r="R44" s="185">
        <v>0.03</v>
      </c>
    </row>
    <row r="45" spans="2:22" ht="13.5" thickBot="1" x14ac:dyDescent="0.35">
      <c r="B45" s="94" t="s">
        <v>93</v>
      </c>
      <c r="C45" s="144">
        <v>0.8</v>
      </c>
      <c r="K45" s="118" t="s">
        <v>39</v>
      </c>
      <c r="L45" s="118" t="s">
        <v>41</v>
      </c>
      <c r="M45" s="118" t="s">
        <v>46</v>
      </c>
      <c r="N45" s="118" t="s">
        <v>0</v>
      </c>
      <c r="O45" s="178"/>
      <c r="P45" s="166" t="s">
        <v>155</v>
      </c>
      <c r="Q45" s="184">
        <f>(Q42*R45)/Q22</f>
        <v>78.289932021155565</v>
      </c>
      <c r="R45" s="185">
        <v>0.1</v>
      </c>
    </row>
    <row r="46" spans="2:22" ht="14.5" x14ac:dyDescent="0.3">
      <c r="B46" s="94" t="s">
        <v>95</v>
      </c>
      <c r="C46" s="144">
        <v>0.6</v>
      </c>
      <c r="G46" s="7" t="s">
        <v>82</v>
      </c>
      <c r="H46" s="115">
        <f>(H42*H44)+H42</f>
        <v>44882.250000000007</v>
      </c>
      <c r="I46" s="116" t="s">
        <v>78</v>
      </c>
      <c r="K46" s="240">
        <v>0</v>
      </c>
      <c r="L46" s="119" t="s">
        <v>99</v>
      </c>
      <c r="M46" s="243">
        <v>22000</v>
      </c>
      <c r="N46" s="243">
        <f>M46*K46</f>
        <v>0</v>
      </c>
      <c r="O46" s="179"/>
    </row>
    <row r="47" spans="2:22" ht="15.5" x14ac:dyDescent="0.35">
      <c r="B47" s="94" t="s">
        <v>97</v>
      </c>
      <c r="C47" s="144">
        <v>0.5</v>
      </c>
      <c r="G47" s="7" t="s">
        <v>83</v>
      </c>
      <c r="H47" s="120">
        <f>H46/H43</f>
        <v>43.830322265625007</v>
      </c>
      <c r="I47" s="116" t="s">
        <v>85</v>
      </c>
      <c r="K47" s="241"/>
      <c r="L47" s="121" t="s">
        <v>100</v>
      </c>
      <c r="M47" s="244"/>
      <c r="N47" s="244"/>
      <c r="O47" s="179"/>
      <c r="P47" s="213" t="s">
        <v>154</v>
      </c>
      <c r="Q47" s="214">
        <f>Q39-Q42</f>
        <v>218.96224316991191</v>
      </c>
    </row>
    <row r="48" spans="2:22" ht="14.5" x14ac:dyDescent="0.3">
      <c r="B48" s="94" t="s">
        <v>96</v>
      </c>
      <c r="C48" s="144">
        <v>0.35</v>
      </c>
      <c r="G48" s="7" t="s">
        <v>84</v>
      </c>
      <c r="H48" s="115">
        <f>H46*I48</f>
        <v>4488.2250000000013</v>
      </c>
      <c r="I48" s="122">
        <v>0.1</v>
      </c>
      <c r="K48" s="241"/>
      <c r="L48" s="121" t="s">
        <v>101</v>
      </c>
      <c r="M48" s="244"/>
      <c r="N48" s="244"/>
      <c r="O48" s="179"/>
    </row>
    <row r="49" spans="7:15" ht="14.5" x14ac:dyDescent="0.3">
      <c r="G49" s="7" t="s">
        <v>86</v>
      </c>
      <c r="H49" s="123">
        <f>H48*12</f>
        <v>53858.700000000012</v>
      </c>
      <c r="I49" s="116" t="s">
        <v>78</v>
      </c>
      <c r="K49" s="241"/>
      <c r="L49" s="121" t="s">
        <v>102</v>
      </c>
      <c r="M49" s="244"/>
      <c r="N49" s="244"/>
      <c r="O49" s="179"/>
    </row>
    <row r="50" spans="7:15" ht="14.5" x14ac:dyDescent="0.3">
      <c r="K50" s="241"/>
      <c r="L50" s="121" t="s">
        <v>103</v>
      </c>
      <c r="M50" s="244"/>
      <c r="N50" s="244"/>
      <c r="O50" s="179"/>
    </row>
    <row r="51" spans="7:15" ht="15" thickBot="1" x14ac:dyDescent="0.4">
      <c r="G51" s="124" t="s">
        <v>87</v>
      </c>
      <c r="H51" s="125">
        <f>(H46+H49)/H43</f>
        <v>96.426708984375011</v>
      </c>
      <c r="I51" s="126" t="s">
        <v>85</v>
      </c>
      <c r="K51" s="242"/>
      <c r="L51" s="127" t="s">
        <v>104</v>
      </c>
      <c r="M51" s="245"/>
      <c r="N51" s="245"/>
      <c r="O51" s="179"/>
    </row>
    <row r="52" spans="7:15" ht="13.5" thickBot="1" x14ac:dyDescent="0.35">
      <c r="K52" s="128">
        <v>0</v>
      </c>
      <c r="L52" s="129" t="s">
        <v>105</v>
      </c>
      <c r="M52" s="130">
        <v>5000</v>
      </c>
      <c r="N52" s="130">
        <f>M52*K52</f>
        <v>0</v>
      </c>
      <c r="O52" s="180"/>
    </row>
    <row r="53" spans="7:15" ht="13.5" thickBot="1" x14ac:dyDescent="0.35">
      <c r="K53" s="128">
        <v>0</v>
      </c>
      <c r="L53" s="129" t="s">
        <v>106</v>
      </c>
      <c r="M53" s="130">
        <v>9900</v>
      </c>
      <c r="N53" s="130">
        <f>M53*K53</f>
        <v>0</v>
      </c>
      <c r="O53" s="180"/>
    </row>
    <row r="54" spans="7:15" ht="13.5" thickBot="1" x14ac:dyDescent="0.35">
      <c r="O54" s="181"/>
    </row>
    <row r="55" spans="7:15" ht="13.5" thickBot="1" x14ac:dyDescent="0.35">
      <c r="M55" s="22" t="s">
        <v>0</v>
      </c>
      <c r="N55" s="130">
        <f>SUM(N46:N53)</f>
        <v>0</v>
      </c>
      <c r="O55" s="180"/>
    </row>
    <row r="56" spans="7:15" x14ac:dyDescent="0.3">
      <c r="O56" s="181"/>
    </row>
    <row r="57" spans="7:15" ht="13.5" thickBot="1" x14ac:dyDescent="0.35">
      <c r="O57" s="181"/>
    </row>
    <row r="58" spans="7:15" ht="14.5" x14ac:dyDescent="0.35">
      <c r="K58" s="225" t="s">
        <v>109</v>
      </c>
      <c r="L58" s="226"/>
      <c r="M58" s="226"/>
      <c r="N58" s="227"/>
      <c r="O58" s="182"/>
    </row>
    <row r="59" spans="7:15" ht="14.5" x14ac:dyDescent="0.35">
      <c r="K59" s="228" t="s">
        <v>110</v>
      </c>
      <c r="L59" s="229"/>
      <c r="M59" s="229"/>
      <c r="N59" s="230"/>
      <c r="O59" s="182"/>
    </row>
    <row r="60" spans="7:15" ht="15" thickBot="1" x14ac:dyDescent="0.4">
      <c r="K60" s="231" t="s">
        <v>130</v>
      </c>
      <c r="L60" s="232"/>
      <c r="M60" s="232"/>
      <c r="N60" s="233"/>
      <c r="O60" s="182"/>
    </row>
    <row r="61" spans="7:15" ht="13.5" thickBot="1" x14ac:dyDescent="0.35">
      <c r="K61" s="118" t="s">
        <v>39</v>
      </c>
      <c r="L61" s="118" t="s">
        <v>111</v>
      </c>
      <c r="M61" s="118" t="s">
        <v>112</v>
      </c>
      <c r="N61" s="118" t="s">
        <v>113</v>
      </c>
      <c r="O61" s="178"/>
    </row>
    <row r="62" spans="7:15" x14ac:dyDescent="0.3">
      <c r="K62" s="148">
        <v>0</v>
      </c>
      <c r="L62" s="132" t="s">
        <v>114</v>
      </c>
      <c r="M62" s="147" t="s">
        <v>115</v>
      </c>
      <c r="N62" s="150">
        <v>0</v>
      </c>
      <c r="O62" s="174"/>
    </row>
    <row r="63" spans="7:15" x14ac:dyDescent="0.3">
      <c r="K63" s="148">
        <v>0</v>
      </c>
      <c r="L63" s="135" t="s">
        <v>116</v>
      </c>
      <c r="M63" s="148" t="s">
        <v>117</v>
      </c>
      <c r="N63" s="151">
        <v>859.68</v>
      </c>
      <c r="O63" s="174"/>
    </row>
    <row r="64" spans="7:15" x14ac:dyDescent="0.3">
      <c r="K64" s="148">
        <v>0</v>
      </c>
      <c r="L64" s="135" t="s">
        <v>118</v>
      </c>
      <c r="M64" s="148" t="s">
        <v>119</v>
      </c>
      <c r="N64" s="151">
        <v>15703</v>
      </c>
      <c r="O64" s="174"/>
    </row>
    <row r="65" spans="11:15" x14ac:dyDescent="0.3">
      <c r="K65" s="148">
        <v>0</v>
      </c>
      <c r="L65" s="135" t="s">
        <v>120</v>
      </c>
      <c r="M65" s="148" t="s">
        <v>121</v>
      </c>
      <c r="N65" s="151">
        <v>0</v>
      </c>
      <c r="O65" s="174"/>
    </row>
    <row r="66" spans="11:15" x14ac:dyDescent="0.3">
      <c r="K66" s="148">
        <v>0</v>
      </c>
      <c r="L66" s="135" t="s">
        <v>122</v>
      </c>
      <c r="M66" s="148" t="s">
        <v>123</v>
      </c>
      <c r="N66" s="151">
        <v>520.48</v>
      </c>
      <c r="O66" s="174"/>
    </row>
    <row r="67" spans="11:15" x14ac:dyDescent="0.3">
      <c r="K67" s="148">
        <v>0</v>
      </c>
      <c r="L67" s="135" t="s">
        <v>124</v>
      </c>
      <c r="M67" s="148" t="s">
        <v>125</v>
      </c>
      <c r="N67" s="151">
        <v>3920</v>
      </c>
      <c r="O67" s="174"/>
    </row>
    <row r="68" spans="11:15" ht="13.5" thickBot="1" x14ac:dyDescent="0.35">
      <c r="K68" s="149">
        <v>0</v>
      </c>
      <c r="L68" s="138" t="s">
        <v>126</v>
      </c>
      <c r="M68" s="149" t="s">
        <v>127</v>
      </c>
      <c r="N68" s="152">
        <v>595</v>
      </c>
      <c r="O68" s="174"/>
    </row>
    <row r="69" spans="11:15" ht="13.5" thickBot="1" x14ac:dyDescent="0.35"/>
    <row r="70" spans="11:15" ht="15" thickBot="1" x14ac:dyDescent="0.35">
      <c r="M70" s="140" t="s">
        <v>0</v>
      </c>
      <c r="N70" s="130">
        <f>SUM(N62:N69)</f>
        <v>21598.16</v>
      </c>
      <c r="O70" s="175"/>
    </row>
    <row r="71" spans="11:15" ht="13.5" thickBot="1" x14ac:dyDescent="0.35"/>
    <row r="72" spans="11:15" ht="15" thickBot="1" x14ac:dyDescent="0.35">
      <c r="M72" s="140" t="s">
        <v>131</v>
      </c>
      <c r="N72" s="141">
        <v>1000000</v>
      </c>
      <c r="O72" s="176"/>
    </row>
    <row r="73" spans="11:15" ht="13.5" thickBot="1" x14ac:dyDescent="0.35"/>
    <row r="74" spans="11:15" ht="15" thickBot="1" x14ac:dyDescent="0.35">
      <c r="M74" s="142" t="s">
        <v>132</v>
      </c>
      <c r="N74" s="143">
        <f>N70/N72</f>
        <v>2.1598159999999998E-2</v>
      </c>
      <c r="O74" s="177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T10:U10"/>
    <mergeCell ref="L2:M2"/>
    <mergeCell ref="P2:Q2"/>
    <mergeCell ref="B5:F5"/>
    <mergeCell ref="C6:D6"/>
    <mergeCell ref="L9:M9"/>
  </mergeCells>
  <conditionalFormatting sqref="H40">
    <cfRule type="containsText" dxfId="1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 xr:uid="{00000000-0002-0000-0100-000000000000}">
      <formula1>$D$31:$D$32</formula1>
    </dataValidation>
    <dataValidation type="list" allowBlank="1" showInputMessage="1" showErrorMessage="1" sqref="H39" xr:uid="{00000000-0002-0000-0100-000001000000}">
      <formula1>$H$29:$H$30</formula1>
    </dataValidation>
    <dataValidation type="list" allowBlank="1" showInputMessage="1" showErrorMessage="1" sqref="H37" xr:uid="{00000000-0002-0000-0100-000002000000}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74"/>
  <sheetViews>
    <sheetView showGridLines="0" zoomScale="70" zoomScaleNormal="70" workbookViewId="0">
      <selection activeCell="K31" sqref="K31"/>
    </sheetView>
  </sheetViews>
  <sheetFormatPr baseColWidth="10" defaultColWidth="8.7265625" defaultRowHeight="13" x14ac:dyDescent="0.3"/>
  <cols>
    <col min="1" max="1" width="7.81640625" style="1" customWidth="1"/>
    <col min="2" max="2" width="26.1796875" style="1" bestFit="1" customWidth="1"/>
    <col min="3" max="3" width="9.81640625" style="1" bestFit="1" customWidth="1"/>
    <col min="4" max="4" width="10.1796875" style="1" customWidth="1"/>
    <col min="5" max="5" width="16" style="1" bestFit="1" customWidth="1"/>
    <col min="6" max="6" width="20.54296875" style="1" customWidth="1"/>
    <col min="7" max="7" width="17.54296875" style="1" bestFit="1" customWidth="1"/>
    <col min="8" max="8" width="12.453125" style="1" bestFit="1" customWidth="1"/>
    <col min="9" max="9" width="4.54296875" style="1" bestFit="1" customWidth="1"/>
    <col min="10" max="11" width="12" style="1" customWidth="1"/>
    <col min="12" max="12" width="43.54296875" style="1" customWidth="1"/>
    <col min="13" max="13" width="22.453125" style="1" bestFit="1" customWidth="1"/>
    <col min="14" max="14" width="11" style="1" bestFit="1" customWidth="1"/>
    <col min="15" max="15" width="11" style="1" customWidth="1"/>
    <col min="16" max="16" width="34.81640625" style="1" customWidth="1"/>
    <col min="17" max="17" width="25.26953125" style="1" customWidth="1"/>
    <col min="18" max="18" width="4.1796875" style="1" bestFit="1" customWidth="1"/>
    <col min="19" max="19" width="10.453125" style="1" customWidth="1"/>
    <col min="20" max="20" width="19.453125" style="1" customWidth="1"/>
    <col min="21" max="21" width="17.7265625" style="1" bestFit="1" customWidth="1"/>
    <col min="22" max="22" width="13.54296875" style="1" bestFit="1" customWidth="1"/>
    <col min="23" max="23" width="12.81640625" style="1" customWidth="1"/>
    <col min="24" max="24" width="13.1796875" style="1" customWidth="1"/>
    <col min="25" max="26" width="8.7265625" style="1"/>
    <col min="27" max="27" width="9.7265625" style="1" customWidth="1"/>
    <col min="28" max="16384" width="8.7265625" style="1"/>
  </cols>
  <sheetData>
    <row r="1" spans="1:29" ht="13.5" thickBot="1" x14ac:dyDescent="0.35">
      <c r="U1" s="2" t="s">
        <v>21</v>
      </c>
      <c r="V1" s="2" t="s">
        <v>22</v>
      </c>
      <c r="W1" s="2" t="s">
        <v>23</v>
      </c>
      <c r="X1" s="2" t="s">
        <v>24</v>
      </c>
      <c r="Y1" s="2" t="s">
        <v>0</v>
      </c>
    </row>
    <row r="2" spans="1:29" ht="15" thickBot="1" x14ac:dyDescent="0.4">
      <c r="B2" s="3"/>
      <c r="C2" s="3"/>
      <c r="D2" s="4"/>
      <c r="E2" s="5"/>
      <c r="F2" s="6"/>
      <c r="L2" s="258" t="s">
        <v>7</v>
      </c>
      <c r="M2" s="259"/>
      <c r="P2" s="262" t="s">
        <v>8</v>
      </c>
      <c r="Q2" s="263"/>
      <c r="T2" s="1" t="s">
        <v>20</v>
      </c>
      <c r="U2" s="7">
        <v>800</v>
      </c>
      <c r="V2" s="7">
        <v>6</v>
      </c>
      <c r="W2" s="7">
        <v>6</v>
      </c>
      <c r="X2" s="7">
        <f>V2</f>
        <v>6</v>
      </c>
      <c r="Y2" s="7">
        <f>U2/36*V2*W2</f>
        <v>799.99999999999989</v>
      </c>
    </row>
    <row r="3" spans="1:29" x14ac:dyDescent="0.3">
      <c r="G3" s="8"/>
      <c r="L3" s="9" t="s">
        <v>6</v>
      </c>
      <c r="M3" s="10">
        <f>V32</f>
        <v>386</v>
      </c>
      <c r="P3" s="11" t="s">
        <v>42</v>
      </c>
      <c r="Q3" s="12">
        <f>(2000/36)</f>
        <v>55.555555555555557</v>
      </c>
    </row>
    <row r="4" spans="1:29" ht="13.5" thickBot="1" x14ac:dyDescent="0.35">
      <c r="G4" s="13"/>
      <c r="H4" s="8"/>
      <c r="I4" s="8"/>
      <c r="J4" s="8"/>
      <c r="K4" s="8"/>
      <c r="L4" s="14" t="s">
        <v>9</v>
      </c>
      <c r="M4" s="15"/>
      <c r="P4" s="16" t="s">
        <v>140</v>
      </c>
      <c r="Q4" s="17">
        <f>(800/36)</f>
        <v>22.222222222222221</v>
      </c>
      <c r="U4" s="2" t="s">
        <v>26</v>
      </c>
      <c r="V4" s="2" t="s">
        <v>27</v>
      </c>
      <c r="W4" s="2" t="s">
        <v>22</v>
      </c>
      <c r="X4" s="2" t="s">
        <v>0</v>
      </c>
    </row>
    <row r="5" spans="1:29" ht="13.5" thickBot="1" x14ac:dyDescent="0.35">
      <c r="B5" s="237" t="s">
        <v>50</v>
      </c>
      <c r="C5" s="238"/>
      <c r="D5" s="238"/>
      <c r="E5" s="238"/>
      <c r="F5" s="239"/>
      <c r="G5" s="18"/>
      <c r="L5" s="19" t="s">
        <v>10</v>
      </c>
      <c r="M5" s="20">
        <f>V38</f>
        <v>159.48233333333332</v>
      </c>
      <c r="P5" s="16" t="s">
        <v>18</v>
      </c>
      <c r="Q5" s="17">
        <v>50</v>
      </c>
      <c r="T5" s="1" t="s">
        <v>25</v>
      </c>
      <c r="U5" s="7">
        <v>600</v>
      </c>
      <c r="V5" s="7">
        <f>W2</f>
        <v>6</v>
      </c>
      <c r="W5" s="7">
        <f>X2</f>
        <v>6</v>
      </c>
      <c r="X5" s="21">
        <f>U5/36*V5*W5</f>
        <v>600</v>
      </c>
    </row>
    <row r="6" spans="1:29" ht="15.75" customHeight="1" thickBot="1" x14ac:dyDescent="0.35">
      <c r="B6" s="22" t="s">
        <v>3</v>
      </c>
      <c r="C6" s="256" t="s">
        <v>45</v>
      </c>
      <c r="D6" s="257"/>
      <c r="E6" s="22" t="s">
        <v>46</v>
      </c>
      <c r="F6" s="145" t="s">
        <v>4</v>
      </c>
      <c r="L6" s="24" t="s">
        <v>129</v>
      </c>
      <c r="M6" s="25">
        <f>V5</f>
        <v>6</v>
      </c>
      <c r="P6" s="16"/>
      <c r="Q6" s="17"/>
      <c r="W6" s="26"/>
    </row>
    <row r="7" spans="1:29" ht="13.5" thickBot="1" x14ac:dyDescent="0.35">
      <c r="A7" s="18"/>
      <c r="B7" s="27" t="s">
        <v>44</v>
      </c>
      <c r="C7" s="28">
        <v>45000</v>
      </c>
      <c r="D7" s="29" t="s">
        <v>47</v>
      </c>
      <c r="E7" s="30">
        <f>M42</f>
        <v>0.23536538233248033</v>
      </c>
      <c r="F7" s="31">
        <f>E7*C7</f>
        <v>10591.442204961615</v>
      </c>
      <c r="L7" s="189" t="s">
        <v>159</v>
      </c>
      <c r="M7" s="190">
        <f>SUM(M3:M5)*M6</f>
        <v>3272.8940000000002</v>
      </c>
      <c r="P7" s="16"/>
      <c r="Q7" s="17"/>
    </row>
    <row r="8" spans="1:29" ht="13.5" thickBot="1" x14ac:dyDescent="0.35">
      <c r="B8" s="33" t="s">
        <v>43</v>
      </c>
      <c r="C8" s="33"/>
      <c r="D8" s="34"/>
      <c r="E8" s="35"/>
      <c r="F8" s="36"/>
      <c r="P8" s="16"/>
      <c r="Q8" s="17"/>
    </row>
    <row r="9" spans="1:29" ht="15" thickBot="1" x14ac:dyDescent="0.4">
      <c r="B9" s="37"/>
      <c r="C9" s="37"/>
      <c r="D9" s="37"/>
      <c r="E9" s="38" t="s">
        <v>2</v>
      </c>
      <c r="F9" s="39">
        <f>SUM(F7:F8)</f>
        <v>10591.442204961615</v>
      </c>
      <c r="L9" s="264" t="s">
        <v>160</v>
      </c>
      <c r="M9" s="265"/>
      <c r="P9" s="16"/>
      <c r="Q9" s="17"/>
    </row>
    <row r="10" spans="1:29" ht="15" thickBot="1" x14ac:dyDescent="0.4">
      <c r="B10" s="37"/>
      <c r="C10" s="37"/>
      <c r="D10" s="37"/>
      <c r="E10" s="38" t="s">
        <v>1</v>
      </c>
      <c r="F10" s="40">
        <f>F9*G10</f>
        <v>1270.9730645953937</v>
      </c>
      <c r="G10" s="173">
        <v>0.12</v>
      </c>
      <c r="L10" s="41" t="s">
        <v>133</v>
      </c>
      <c r="M10" s="191">
        <f>M7</f>
        <v>3272.8940000000002</v>
      </c>
      <c r="N10" s="42"/>
      <c r="O10" s="42"/>
      <c r="P10" s="16"/>
      <c r="Q10" s="17"/>
      <c r="R10" s="18"/>
      <c r="S10" s="18"/>
      <c r="T10" s="260" t="s">
        <v>19</v>
      </c>
      <c r="U10" s="249"/>
      <c r="W10" s="2" t="s">
        <v>28</v>
      </c>
      <c r="X10" s="2" t="s">
        <v>29</v>
      </c>
      <c r="Y10" s="2" t="s">
        <v>30</v>
      </c>
      <c r="Z10" s="2" t="s">
        <v>0</v>
      </c>
      <c r="AA10" s="43" t="s">
        <v>37</v>
      </c>
      <c r="AB10" s="43" t="s">
        <v>0</v>
      </c>
    </row>
    <row r="11" spans="1:29" ht="13.5" thickBot="1" x14ac:dyDescent="0.35">
      <c r="B11" s="44"/>
      <c r="C11" s="37"/>
      <c r="D11" s="37"/>
      <c r="E11" s="45" t="s">
        <v>0</v>
      </c>
      <c r="F11" s="46">
        <f>SUM(F9:F10)</f>
        <v>11862.415269557008</v>
      </c>
      <c r="L11" s="47" t="s">
        <v>134</v>
      </c>
      <c r="M11" s="203">
        <v>30</v>
      </c>
      <c r="N11" s="42"/>
      <c r="O11" s="42"/>
      <c r="P11" s="16"/>
      <c r="Q11" s="17"/>
      <c r="T11" s="11"/>
      <c r="U11" s="48">
        <v>0</v>
      </c>
      <c r="W11" s="7"/>
      <c r="X11" s="7"/>
      <c r="Y11" s="7"/>
      <c r="Z11" s="7"/>
      <c r="AA11" s="7"/>
      <c r="AB11" s="49"/>
    </row>
    <row r="12" spans="1:29" ht="13.5" thickBot="1" x14ac:dyDescent="0.35">
      <c r="C12" s="8"/>
      <c r="D12" s="8"/>
      <c r="L12" s="50" t="s">
        <v>135</v>
      </c>
      <c r="M12" s="200">
        <f>+(M10/22)*M11</f>
        <v>4463.0372727272734</v>
      </c>
      <c r="N12" s="42"/>
      <c r="O12" s="42"/>
      <c r="P12" s="16"/>
      <c r="Q12" s="17"/>
      <c r="T12" s="51"/>
      <c r="U12" s="52">
        <v>0</v>
      </c>
    </row>
    <row r="13" spans="1:29" ht="13.5" thickBot="1" x14ac:dyDescent="0.35">
      <c r="B13" s="237" t="s">
        <v>40</v>
      </c>
      <c r="C13" s="238"/>
      <c r="D13" s="238"/>
      <c r="E13" s="238"/>
      <c r="F13" s="239"/>
      <c r="L13" s="53" t="s">
        <v>136</v>
      </c>
      <c r="M13" s="192">
        <v>0</v>
      </c>
      <c r="N13" s="42"/>
      <c r="O13" s="42"/>
      <c r="P13" s="32"/>
      <c r="Q13" s="17"/>
      <c r="T13" s="51"/>
      <c r="U13" s="52">
        <v>0</v>
      </c>
      <c r="W13" s="2" t="s">
        <v>31</v>
      </c>
      <c r="X13" s="2" t="s">
        <v>29</v>
      </c>
      <c r="Y13" s="2" t="s">
        <v>32</v>
      </c>
      <c r="Z13" s="2" t="s">
        <v>30</v>
      </c>
      <c r="AA13" s="2" t="s">
        <v>0</v>
      </c>
      <c r="AB13" s="43" t="s">
        <v>38</v>
      </c>
      <c r="AC13" s="43" t="s">
        <v>0</v>
      </c>
    </row>
    <row r="14" spans="1:29" ht="15.75" customHeight="1" thickBot="1" x14ac:dyDescent="0.35">
      <c r="B14" s="22" t="s">
        <v>41</v>
      </c>
      <c r="C14" s="256" t="s">
        <v>49</v>
      </c>
      <c r="D14" s="257"/>
      <c r="E14" s="22" t="s">
        <v>46</v>
      </c>
      <c r="F14" s="145" t="s">
        <v>4</v>
      </c>
      <c r="L14" s="54" t="s">
        <v>134</v>
      </c>
      <c r="M14" s="193">
        <v>0</v>
      </c>
      <c r="N14" s="55"/>
      <c r="O14" s="55"/>
      <c r="P14" s="56" t="s">
        <v>0</v>
      </c>
      <c r="Q14" s="57">
        <f>SUM(Q3:Q4:Q5)+U25</f>
        <v>127.77777777777777</v>
      </c>
      <c r="T14" s="51"/>
      <c r="U14" s="52">
        <v>0</v>
      </c>
      <c r="W14" s="7"/>
      <c r="X14" s="7"/>
      <c r="Y14" s="7"/>
      <c r="Z14" s="7"/>
      <c r="AA14" s="7"/>
      <c r="AB14" s="49"/>
      <c r="AC14" s="49"/>
    </row>
    <row r="15" spans="1:29" ht="13.5" thickBot="1" x14ac:dyDescent="0.35">
      <c r="B15" s="58" t="s">
        <v>40</v>
      </c>
      <c r="C15" s="59">
        <f>H51</f>
        <v>842.56347656250023</v>
      </c>
      <c r="D15" s="60" t="s">
        <v>48</v>
      </c>
      <c r="E15" s="61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39">
        <f>C15*E15</f>
        <v>674.05078125000023</v>
      </c>
      <c r="H15" s="224">
        <f>C15+'Analisis Costo Roles de Pago'!C15+'Analisis Costo Nomina Personal'!C15</f>
        <v>968.94799804687523</v>
      </c>
      <c r="L15" s="62" t="s">
        <v>135</v>
      </c>
      <c r="M15" s="194">
        <f>+(M13/22)*M14</f>
        <v>0</v>
      </c>
      <c r="N15" s="8"/>
      <c r="O15" s="8"/>
      <c r="T15" s="51"/>
      <c r="U15" s="52">
        <v>0</v>
      </c>
    </row>
    <row r="16" spans="1:29" ht="15" thickBot="1" x14ac:dyDescent="0.4">
      <c r="B16" s="33"/>
      <c r="C16" s="33"/>
      <c r="D16" s="34"/>
      <c r="E16" s="35"/>
      <c r="F16" s="63"/>
      <c r="L16" s="64" t="s">
        <v>137</v>
      </c>
      <c r="M16" s="195">
        <v>0</v>
      </c>
      <c r="P16" s="258" t="s">
        <v>164</v>
      </c>
      <c r="Q16" s="259"/>
      <c r="T16" s="51"/>
      <c r="U16" s="52">
        <v>0</v>
      </c>
      <c r="W16" s="2" t="s">
        <v>33</v>
      </c>
      <c r="X16" s="2" t="s">
        <v>29</v>
      </c>
      <c r="Y16" s="65" t="s">
        <v>34</v>
      </c>
      <c r="Z16" s="2" t="s">
        <v>36</v>
      </c>
      <c r="AA16" s="43" t="s">
        <v>35</v>
      </c>
      <c r="AB16" s="43" t="s">
        <v>38</v>
      </c>
      <c r="AC16" s="43" t="s">
        <v>0</v>
      </c>
    </row>
    <row r="17" spans="2:29" x14ac:dyDescent="0.3">
      <c r="B17" s="37"/>
      <c r="C17" s="37"/>
      <c r="D17" s="37"/>
      <c r="E17" s="38" t="s">
        <v>2</v>
      </c>
      <c r="F17" s="39">
        <f>SUM(F15:F16)</f>
        <v>674.05078125000023</v>
      </c>
      <c r="L17" s="66" t="s">
        <v>134</v>
      </c>
      <c r="M17" s="196">
        <v>0</v>
      </c>
      <c r="N17" s="18"/>
      <c r="O17" s="18"/>
      <c r="P17" s="153" t="s">
        <v>165</v>
      </c>
      <c r="Q17" s="68">
        <v>0.15</v>
      </c>
      <c r="T17" s="51"/>
      <c r="U17" s="52">
        <v>0</v>
      </c>
      <c r="W17" s="7"/>
      <c r="X17" s="69"/>
      <c r="Y17" s="69"/>
      <c r="Z17" s="69"/>
      <c r="AA17" s="69"/>
      <c r="AB17" s="70"/>
      <c r="AC17" s="49">
        <f>AA17*AB17</f>
        <v>0</v>
      </c>
    </row>
    <row r="18" spans="2:29" ht="13.5" thickBot="1" x14ac:dyDescent="0.35">
      <c r="B18" s="37"/>
      <c r="C18" s="37"/>
      <c r="D18" s="37"/>
      <c r="E18" s="38" t="s">
        <v>1</v>
      </c>
      <c r="F18" s="40">
        <f>F17*G18</f>
        <v>80.886093750000029</v>
      </c>
      <c r="G18" s="173">
        <v>0.12</v>
      </c>
      <c r="L18" s="71" t="s">
        <v>135</v>
      </c>
      <c r="M18" s="201">
        <f>+(M16/22)*M17</f>
        <v>0</v>
      </c>
      <c r="P18" s="189" t="s">
        <v>13</v>
      </c>
      <c r="Q18" s="206">
        <f>((M34)+((M34)*Q27))*Q17</f>
        <v>1168.1737726060605</v>
      </c>
      <c r="T18" s="74"/>
      <c r="U18" s="75">
        <v>0</v>
      </c>
    </row>
    <row r="19" spans="2:29" ht="13.5" thickBot="1" x14ac:dyDescent="0.35">
      <c r="B19" s="44"/>
      <c r="C19" s="37"/>
      <c r="D19" s="37"/>
      <c r="E19" s="45" t="s">
        <v>0</v>
      </c>
      <c r="F19" s="46">
        <f>SUM(F17:F18)</f>
        <v>754.93687500000021</v>
      </c>
      <c r="L19" s="76" t="s">
        <v>138</v>
      </c>
      <c r="M19" s="197">
        <v>0</v>
      </c>
      <c r="W19" s="2" t="s">
        <v>33</v>
      </c>
      <c r="X19" s="2" t="s">
        <v>29</v>
      </c>
      <c r="Y19" s="65" t="s">
        <v>34</v>
      </c>
      <c r="Z19" s="2" t="s">
        <v>36</v>
      </c>
      <c r="AA19" s="43" t="s">
        <v>35</v>
      </c>
      <c r="AB19" s="43" t="s">
        <v>38</v>
      </c>
      <c r="AC19" s="43" t="s">
        <v>0</v>
      </c>
    </row>
    <row r="20" spans="2:29" ht="13.5" thickBot="1" x14ac:dyDescent="0.35">
      <c r="B20" s="77"/>
      <c r="C20" s="77"/>
      <c r="D20" s="77"/>
      <c r="E20" s="78"/>
      <c r="F20" s="79"/>
      <c r="L20" s="80" t="s">
        <v>134</v>
      </c>
      <c r="M20" s="198">
        <v>0</v>
      </c>
      <c r="W20" s="7"/>
      <c r="X20" s="69"/>
      <c r="Y20" s="69"/>
      <c r="Z20" s="69"/>
      <c r="AA20" s="69"/>
      <c r="AB20" s="70"/>
      <c r="AC20" s="49">
        <f>AA20*AB20</f>
        <v>0</v>
      </c>
    </row>
    <row r="21" spans="2:29" ht="15" thickBot="1" x14ac:dyDescent="0.4">
      <c r="B21" s="77"/>
      <c r="C21" s="77"/>
      <c r="D21" s="77"/>
      <c r="E21" s="78"/>
      <c r="F21" s="79"/>
      <c r="L21" s="81" t="s">
        <v>135</v>
      </c>
      <c r="M21" s="202">
        <f>+(M19/22)*M20</f>
        <v>0</v>
      </c>
      <c r="P21" s="260" t="s">
        <v>11</v>
      </c>
      <c r="Q21" s="249"/>
    </row>
    <row r="22" spans="2:29" ht="13.5" thickBot="1" x14ac:dyDescent="0.35">
      <c r="B22" s="261"/>
      <c r="C22" s="261"/>
      <c r="D22" s="261"/>
      <c r="E22" s="261"/>
      <c r="F22" s="261"/>
      <c r="L22" s="56" t="s">
        <v>0</v>
      </c>
      <c r="M22" s="199">
        <f>+M18+M21+M15+M12</f>
        <v>4463.0372727272734</v>
      </c>
      <c r="P22" s="67" t="s">
        <v>12</v>
      </c>
      <c r="Q22" s="68">
        <v>0.13</v>
      </c>
    </row>
    <row r="23" spans="2:29" ht="15" thickBot="1" x14ac:dyDescent="0.4">
      <c r="B23" s="82" t="s">
        <v>51</v>
      </c>
      <c r="C23" s="146"/>
      <c r="D23" s="146"/>
      <c r="E23" s="146"/>
      <c r="F23" s="146"/>
      <c r="P23" s="72" t="s">
        <v>13</v>
      </c>
      <c r="Q23" s="73">
        <f>(M37+M38)*Q22</f>
        <v>1225.0248962062221</v>
      </c>
    </row>
    <row r="24" spans="2:29" ht="13.5" thickBot="1" x14ac:dyDescent="0.35"/>
    <row r="25" spans="2:29" ht="15" thickBot="1" x14ac:dyDescent="0.4">
      <c r="B25" s="84" t="s">
        <v>41</v>
      </c>
      <c r="C25" s="85" t="s">
        <v>68</v>
      </c>
      <c r="D25" s="85" t="s">
        <v>53</v>
      </c>
      <c r="E25" s="86" t="s">
        <v>72</v>
      </c>
      <c r="F25" s="87" t="s">
        <v>54</v>
      </c>
      <c r="G25" s="86" t="s">
        <v>63</v>
      </c>
      <c r="H25" s="85" t="s">
        <v>52</v>
      </c>
      <c r="L25" s="258" t="s">
        <v>157</v>
      </c>
      <c r="M25" s="259"/>
      <c r="P25" s="88" t="s">
        <v>5</v>
      </c>
      <c r="Q25" s="89">
        <f>C7</f>
        <v>45000</v>
      </c>
      <c r="T25" s="56" t="s">
        <v>0</v>
      </c>
      <c r="U25" s="90">
        <f>SUM(U11:U18)</f>
        <v>0</v>
      </c>
    </row>
    <row r="26" spans="2:29" ht="13.5" thickBot="1" x14ac:dyDescent="0.35">
      <c r="B26" s="91" t="s">
        <v>69</v>
      </c>
      <c r="C26" s="91" t="s">
        <v>65</v>
      </c>
      <c r="D26" s="91" t="s">
        <v>55</v>
      </c>
      <c r="E26" s="92">
        <v>14.7</v>
      </c>
      <c r="F26" s="93" t="s">
        <v>58</v>
      </c>
      <c r="G26" s="94" t="s">
        <v>59</v>
      </c>
      <c r="H26" s="91" t="s">
        <v>61</v>
      </c>
      <c r="L26" s="11" t="s">
        <v>108</v>
      </c>
      <c r="M26" s="95">
        <f>N55</f>
        <v>0</v>
      </c>
      <c r="P26" s="96"/>
    </row>
    <row r="27" spans="2:29" ht="13.5" thickBot="1" x14ac:dyDescent="0.35">
      <c r="B27" s="91" t="s">
        <v>69</v>
      </c>
      <c r="C27" s="91" t="s">
        <v>66</v>
      </c>
      <c r="D27" s="91" t="s">
        <v>55</v>
      </c>
      <c r="E27" s="92">
        <v>7.4</v>
      </c>
      <c r="F27" s="93" t="s">
        <v>58</v>
      </c>
      <c r="G27" s="94" t="s">
        <v>59</v>
      </c>
      <c r="H27" s="91" t="s">
        <v>61</v>
      </c>
      <c r="L27" s="51" t="s">
        <v>128</v>
      </c>
      <c r="M27" s="97">
        <f>N74*C7</f>
        <v>971.91719999999987</v>
      </c>
      <c r="P27" s="88" t="s">
        <v>15</v>
      </c>
      <c r="Q27" s="98">
        <v>0.4</v>
      </c>
      <c r="T27" s="56"/>
    </row>
    <row r="28" spans="2:29" ht="13.5" thickBot="1" x14ac:dyDescent="0.35">
      <c r="B28" s="91" t="s">
        <v>69</v>
      </c>
      <c r="C28" s="91" t="s">
        <v>67</v>
      </c>
      <c r="D28" s="91" t="s">
        <v>56</v>
      </c>
      <c r="E28" s="92">
        <v>8.3000000000000007</v>
      </c>
      <c r="F28" s="93" t="s">
        <v>58</v>
      </c>
      <c r="G28" s="94" t="s">
        <v>59</v>
      </c>
      <c r="H28" s="91" t="s">
        <v>61</v>
      </c>
      <c r="L28" s="74"/>
      <c r="M28" s="99"/>
    </row>
    <row r="29" spans="2:29" ht="13.5" thickBot="1" x14ac:dyDescent="0.35">
      <c r="B29" s="91" t="s">
        <v>69</v>
      </c>
      <c r="C29" s="91" t="s">
        <v>73</v>
      </c>
      <c r="D29" s="91" t="s">
        <v>56</v>
      </c>
      <c r="E29" s="92">
        <v>11.8</v>
      </c>
      <c r="F29" s="93" t="s">
        <v>58</v>
      </c>
      <c r="G29" s="94" t="s">
        <v>59</v>
      </c>
      <c r="H29" s="91" t="s">
        <v>61</v>
      </c>
      <c r="L29" s="56" t="s">
        <v>0</v>
      </c>
      <c r="M29" s="188">
        <f>SUM(M26:M28)</f>
        <v>971.91719999999987</v>
      </c>
      <c r="P29" s="246" t="s">
        <v>149</v>
      </c>
      <c r="Q29" s="247"/>
    </row>
    <row r="30" spans="2:29" ht="13.5" thickBot="1" x14ac:dyDescent="0.35">
      <c r="B30" s="91" t="s">
        <v>70</v>
      </c>
      <c r="C30" s="91" t="s">
        <v>74</v>
      </c>
      <c r="D30" s="91" t="s">
        <v>55</v>
      </c>
      <c r="E30" s="92">
        <v>44</v>
      </c>
      <c r="F30" s="93" t="s">
        <v>57</v>
      </c>
      <c r="G30" s="94" t="s">
        <v>60</v>
      </c>
      <c r="H30" s="91" t="s">
        <v>62</v>
      </c>
      <c r="P30" s="207" t="s">
        <v>161</v>
      </c>
      <c r="Q30" s="208">
        <f>M22</f>
        <v>4463.0372727272734</v>
      </c>
    </row>
    <row r="31" spans="2:29" ht="15" thickBot="1" x14ac:dyDescent="0.4">
      <c r="B31" s="91" t="s">
        <v>70</v>
      </c>
      <c r="C31" s="91" t="s">
        <v>75</v>
      </c>
      <c r="D31" s="91" t="s">
        <v>55</v>
      </c>
      <c r="E31" s="92">
        <v>22</v>
      </c>
      <c r="F31" s="93" t="s">
        <v>57</v>
      </c>
      <c r="G31" s="94" t="s">
        <v>60</v>
      </c>
      <c r="H31" s="91" t="s">
        <v>62</v>
      </c>
      <c r="L31" s="248" t="s">
        <v>156</v>
      </c>
      <c r="M31" s="249"/>
      <c r="P31" s="166" t="s">
        <v>162</v>
      </c>
      <c r="Q31" s="167">
        <f>M29</f>
        <v>971.91719999999987</v>
      </c>
      <c r="T31" s="248" t="s">
        <v>7</v>
      </c>
      <c r="U31" s="250"/>
      <c r="V31" s="251"/>
    </row>
    <row r="32" spans="2:29" ht="13.5" thickBot="1" x14ac:dyDescent="0.35">
      <c r="B32" s="91" t="s">
        <v>70</v>
      </c>
      <c r="C32" s="91" t="s">
        <v>76</v>
      </c>
      <c r="D32" s="91" t="s">
        <v>56</v>
      </c>
      <c r="E32" s="92">
        <v>24.9</v>
      </c>
      <c r="F32" s="93" t="s">
        <v>57</v>
      </c>
      <c r="G32" s="94" t="s">
        <v>60</v>
      </c>
      <c r="H32" s="91" t="s">
        <v>62</v>
      </c>
      <c r="L32" s="187" t="s">
        <v>158</v>
      </c>
      <c r="M32" s="100">
        <f>SUM(M29+M22)</f>
        <v>5434.9544727272732</v>
      </c>
      <c r="P32" s="166" t="s">
        <v>8</v>
      </c>
      <c r="Q32" s="167">
        <f>M33</f>
        <v>127.77777777777777</v>
      </c>
      <c r="T32" s="234" t="s">
        <v>6</v>
      </c>
      <c r="U32" s="235"/>
      <c r="V32" s="10">
        <v>386</v>
      </c>
    </row>
    <row r="33" spans="2:22" ht="13.5" thickBot="1" x14ac:dyDescent="0.35">
      <c r="B33" s="91" t="s">
        <v>70</v>
      </c>
      <c r="C33" s="91" t="s">
        <v>77</v>
      </c>
      <c r="D33" s="91" t="s">
        <v>56</v>
      </c>
      <c r="E33" s="92">
        <v>28.1</v>
      </c>
      <c r="F33" s="93" t="s">
        <v>57</v>
      </c>
      <c r="G33" s="94" t="s">
        <v>60</v>
      </c>
      <c r="H33" s="91" t="s">
        <v>62</v>
      </c>
      <c r="L33" s="101" t="str">
        <f>P2</f>
        <v>Recursos Varios</v>
      </c>
      <c r="M33" s="102">
        <f>Q14</f>
        <v>127.77777777777777</v>
      </c>
      <c r="P33" s="166" t="s">
        <v>166</v>
      </c>
      <c r="Q33" s="167">
        <f>Q18</f>
        <v>1168.1737726060605</v>
      </c>
      <c r="T33" s="153" t="s">
        <v>141</v>
      </c>
      <c r="U33" s="154">
        <v>12</v>
      </c>
      <c r="V33" s="155">
        <f>$V$32/U33</f>
        <v>32.166666666666664</v>
      </c>
    </row>
    <row r="34" spans="2:22" ht="15" thickBot="1" x14ac:dyDescent="0.4">
      <c r="B34" s="103"/>
      <c r="L34" s="56" t="s">
        <v>0</v>
      </c>
      <c r="M34" s="205">
        <f>SUM(M32:M33)</f>
        <v>5562.7322505050506</v>
      </c>
      <c r="N34" s="204"/>
      <c r="T34" s="153" t="s">
        <v>142</v>
      </c>
      <c r="U34" s="154">
        <v>12</v>
      </c>
      <c r="V34" s="155">
        <f>(($V$32*U34)/U34)/U34</f>
        <v>32.166666666666664</v>
      </c>
    </row>
    <row r="35" spans="2:22" ht="13.5" thickBot="1" x14ac:dyDescent="0.35">
      <c r="P35" s="168" t="s">
        <v>150</v>
      </c>
      <c r="Q35" s="169">
        <f>SUM(Q30:Q34)</f>
        <v>6730.9060231111107</v>
      </c>
      <c r="T35" s="153" t="s">
        <v>143</v>
      </c>
      <c r="U35" s="154">
        <v>24</v>
      </c>
      <c r="V35" s="155">
        <f>(($V$32*U34)/U35)/12</f>
        <v>16.083333333333332</v>
      </c>
    </row>
    <row r="36" spans="2:22" ht="15" thickBot="1" x14ac:dyDescent="0.4">
      <c r="G36" s="104" t="s">
        <v>71</v>
      </c>
      <c r="H36" s="105">
        <f>C7</f>
        <v>45000</v>
      </c>
      <c r="L36" s="252" t="s">
        <v>139</v>
      </c>
      <c r="M36" s="253"/>
      <c r="T36" s="156" t="s">
        <v>144</v>
      </c>
      <c r="U36" s="157">
        <v>12</v>
      </c>
      <c r="V36" s="158">
        <f>(($V$32*U36)/U36)/U36</f>
        <v>32.166666666666664</v>
      </c>
    </row>
    <row r="37" spans="2:22" ht="13.5" thickBot="1" x14ac:dyDescent="0.35">
      <c r="G37" s="106" t="s">
        <v>68</v>
      </c>
      <c r="H37" s="107" t="s">
        <v>67</v>
      </c>
      <c r="L37" s="186" t="s">
        <v>163</v>
      </c>
      <c r="M37" s="100">
        <f>M34+Q18</f>
        <v>6730.9060231111107</v>
      </c>
      <c r="N37" s="108"/>
      <c r="O37" s="108"/>
      <c r="P37" s="170" t="s">
        <v>151</v>
      </c>
      <c r="Q37" s="171">
        <f>F7</f>
        <v>10591.442204961615</v>
      </c>
      <c r="T37" s="159" t="s">
        <v>145</v>
      </c>
      <c r="U37" s="160">
        <v>0.1215</v>
      </c>
      <c r="V37" s="161">
        <f>(V32*U37)</f>
        <v>46.899000000000001</v>
      </c>
    </row>
    <row r="38" spans="2:22" ht="13.5" thickBot="1" x14ac:dyDescent="0.35">
      <c r="G38" s="106" t="s">
        <v>53</v>
      </c>
      <c r="H38" s="107" t="s">
        <v>56</v>
      </c>
      <c r="L38" s="101" t="s">
        <v>14</v>
      </c>
      <c r="M38" s="109">
        <f>M37*Q27</f>
        <v>2692.3624092444443</v>
      </c>
      <c r="Q38" s="13"/>
      <c r="T38" s="254" t="s">
        <v>146</v>
      </c>
      <c r="U38" s="255"/>
      <c r="V38" s="20">
        <f>SUM(V33:V37)</f>
        <v>159.48233333333332</v>
      </c>
    </row>
    <row r="39" spans="2:22" ht="13.5" thickBot="1" x14ac:dyDescent="0.35">
      <c r="B39" s="110" t="s">
        <v>94</v>
      </c>
      <c r="C39" s="110" t="s">
        <v>98</v>
      </c>
      <c r="G39" s="106" t="s">
        <v>52</v>
      </c>
      <c r="H39" s="107" t="s">
        <v>61</v>
      </c>
      <c r="P39" s="211" t="s">
        <v>152</v>
      </c>
      <c r="Q39" s="212">
        <f>Q37-Q35</f>
        <v>3860.5361818505044</v>
      </c>
      <c r="T39" s="234" t="s">
        <v>147</v>
      </c>
      <c r="U39" s="235"/>
      <c r="V39" s="162">
        <f>V32+V38</f>
        <v>545.48233333333337</v>
      </c>
    </row>
    <row r="40" spans="2:22" ht="15" thickBot="1" x14ac:dyDescent="0.4">
      <c r="B40" s="94" t="s">
        <v>88</v>
      </c>
      <c r="C40" s="144">
        <v>1.8</v>
      </c>
      <c r="G40" s="111" t="s">
        <v>64</v>
      </c>
      <c r="H40" s="112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209"/>
      <c r="Q40" s="210"/>
      <c r="T40" s="163" t="s">
        <v>148</v>
      </c>
      <c r="U40" s="164">
        <v>1</v>
      </c>
      <c r="V40" s="165">
        <f>V39*U40</f>
        <v>545.48233333333337</v>
      </c>
    </row>
    <row r="41" spans="2:22" ht="13.5" thickBot="1" x14ac:dyDescent="0.35">
      <c r="B41" s="94" t="s">
        <v>89</v>
      </c>
      <c r="C41" s="144">
        <v>1.6</v>
      </c>
      <c r="L41" s="113" t="s">
        <v>16</v>
      </c>
      <c r="M41" s="114">
        <f>(M37+Q18)/Q25</f>
        <v>0.17553510657149268</v>
      </c>
      <c r="P41" s="236" t="s">
        <v>167</v>
      </c>
      <c r="Q41" s="236"/>
    </row>
    <row r="42" spans="2:22" ht="13.5" thickBot="1" x14ac:dyDescent="0.35">
      <c r="B42" s="94" t="s">
        <v>90</v>
      </c>
      <c r="C42" s="144">
        <v>1.4</v>
      </c>
      <c r="G42" s="7" t="s">
        <v>79</v>
      </c>
      <c r="H42" s="115">
        <f>H36*H40</f>
        <v>373500.00000000006</v>
      </c>
      <c r="I42" s="116" t="s">
        <v>78</v>
      </c>
      <c r="L42" s="113" t="s">
        <v>17</v>
      </c>
      <c r="M42" s="114">
        <f>(M37+M38+Q18)/Q25</f>
        <v>0.23536538233248033</v>
      </c>
      <c r="P42" s="166" t="s">
        <v>168</v>
      </c>
      <c r="Q42" s="172">
        <f>Q23</f>
        <v>1225.0248962062221</v>
      </c>
    </row>
    <row r="43" spans="2:22" ht="13.5" thickBot="1" x14ac:dyDescent="0.35">
      <c r="B43" s="94" t="s">
        <v>91</v>
      </c>
      <c r="C43" s="144">
        <v>1.2</v>
      </c>
      <c r="G43" s="7" t="s">
        <v>80</v>
      </c>
      <c r="H43" s="115">
        <v>1024</v>
      </c>
      <c r="I43" s="116" t="s">
        <v>78</v>
      </c>
    </row>
    <row r="44" spans="2:22" ht="13.5" thickBot="1" x14ac:dyDescent="0.35">
      <c r="B44" s="94" t="s">
        <v>92</v>
      </c>
      <c r="C44" s="144">
        <v>1</v>
      </c>
      <c r="G44" s="7" t="s">
        <v>81</v>
      </c>
      <c r="H44" s="117">
        <v>0.05</v>
      </c>
      <c r="I44" s="116"/>
      <c r="K44" s="237" t="s">
        <v>107</v>
      </c>
      <c r="L44" s="238"/>
      <c r="M44" s="238"/>
      <c r="N44" s="239"/>
      <c r="O44" s="146"/>
      <c r="P44" s="166" t="s">
        <v>153</v>
      </c>
      <c r="Q44" s="183">
        <f>(Q42*R44)/Q22</f>
        <v>282.69805297066659</v>
      </c>
      <c r="R44" s="185">
        <v>0.03</v>
      </c>
    </row>
    <row r="45" spans="2:22" ht="13.5" thickBot="1" x14ac:dyDescent="0.35">
      <c r="B45" s="94" t="s">
        <v>93</v>
      </c>
      <c r="C45" s="144">
        <v>0.8</v>
      </c>
      <c r="K45" s="118" t="s">
        <v>39</v>
      </c>
      <c r="L45" s="118" t="s">
        <v>41</v>
      </c>
      <c r="M45" s="118" t="s">
        <v>46</v>
      </c>
      <c r="N45" s="118" t="s">
        <v>0</v>
      </c>
      <c r="O45" s="178"/>
      <c r="P45" s="166" t="s">
        <v>155</v>
      </c>
      <c r="Q45" s="184">
        <f>(Q42*R45)/Q22</f>
        <v>942.32684323555543</v>
      </c>
      <c r="R45" s="185">
        <v>0.1</v>
      </c>
    </row>
    <row r="46" spans="2:22" ht="14.5" x14ac:dyDescent="0.3">
      <c r="B46" s="94" t="s">
        <v>95</v>
      </c>
      <c r="C46" s="144">
        <v>0.6</v>
      </c>
      <c r="G46" s="7" t="s">
        <v>82</v>
      </c>
      <c r="H46" s="115">
        <f>(H42*H44)+H42</f>
        <v>392175.00000000006</v>
      </c>
      <c r="I46" s="116" t="s">
        <v>78</v>
      </c>
      <c r="K46" s="240">
        <v>0</v>
      </c>
      <c r="L46" s="119" t="s">
        <v>99</v>
      </c>
      <c r="M46" s="243">
        <v>22000</v>
      </c>
      <c r="N46" s="243">
        <f>M46*K46</f>
        <v>0</v>
      </c>
      <c r="O46" s="179"/>
    </row>
    <row r="47" spans="2:22" ht="15.5" x14ac:dyDescent="0.35">
      <c r="B47" s="94" t="s">
        <v>97</v>
      </c>
      <c r="C47" s="144">
        <v>0.5</v>
      </c>
      <c r="G47" s="7" t="s">
        <v>83</v>
      </c>
      <c r="H47" s="120">
        <f>H46/H43</f>
        <v>382.98339843750006</v>
      </c>
      <c r="I47" s="116" t="s">
        <v>85</v>
      </c>
      <c r="K47" s="241"/>
      <c r="L47" s="121" t="s">
        <v>100</v>
      </c>
      <c r="M47" s="244"/>
      <c r="N47" s="244"/>
      <c r="O47" s="179"/>
      <c r="P47" s="213" t="s">
        <v>154</v>
      </c>
      <c r="Q47" s="214">
        <f>Q39-Q42</f>
        <v>2635.511285644282</v>
      </c>
    </row>
    <row r="48" spans="2:22" ht="14.5" x14ac:dyDescent="0.3">
      <c r="B48" s="94" t="s">
        <v>96</v>
      </c>
      <c r="C48" s="144">
        <v>0.35</v>
      </c>
      <c r="G48" s="7" t="s">
        <v>84</v>
      </c>
      <c r="H48" s="115">
        <f>H46*I48</f>
        <v>39217.500000000007</v>
      </c>
      <c r="I48" s="122">
        <v>0.1</v>
      </c>
      <c r="K48" s="241"/>
      <c r="L48" s="121" t="s">
        <v>101</v>
      </c>
      <c r="M48" s="244"/>
      <c r="N48" s="244"/>
      <c r="O48" s="179"/>
    </row>
    <row r="49" spans="7:15" ht="14.5" x14ac:dyDescent="0.3">
      <c r="G49" s="7" t="s">
        <v>86</v>
      </c>
      <c r="H49" s="123">
        <f>H48*12</f>
        <v>470610.00000000012</v>
      </c>
      <c r="I49" s="116" t="s">
        <v>78</v>
      </c>
      <c r="K49" s="241"/>
      <c r="L49" s="121" t="s">
        <v>102</v>
      </c>
      <c r="M49" s="244"/>
      <c r="N49" s="244"/>
      <c r="O49" s="179"/>
    </row>
    <row r="50" spans="7:15" ht="14.5" x14ac:dyDescent="0.3">
      <c r="K50" s="241"/>
      <c r="L50" s="121" t="s">
        <v>103</v>
      </c>
      <c r="M50" s="244"/>
      <c r="N50" s="244"/>
      <c r="O50" s="179"/>
    </row>
    <row r="51" spans="7:15" ht="15" thickBot="1" x14ac:dyDescent="0.4">
      <c r="G51" s="124" t="s">
        <v>87</v>
      </c>
      <c r="H51" s="125">
        <f>(H46+H49)/H43</f>
        <v>842.56347656250023</v>
      </c>
      <c r="I51" s="126" t="s">
        <v>85</v>
      </c>
      <c r="K51" s="242"/>
      <c r="L51" s="127" t="s">
        <v>104</v>
      </c>
      <c r="M51" s="245"/>
      <c r="N51" s="245"/>
      <c r="O51" s="179"/>
    </row>
    <row r="52" spans="7:15" ht="13.5" thickBot="1" x14ac:dyDescent="0.35">
      <c r="K52" s="128">
        <v>0</v>
      </c>
      <c r="L52" s="129" t="s">
        <v>105</v>
      </c>
      <c r="M52" s="130">
        <v>5000</v>
      </c>
      <c r="N52" s="130">
        <f>M52*K52</f>
        <v>0</v>
      </c>
      <c r="O52" s="180"/>
    </row>
    <row r="53" spans="7:15" ht="13.5" thickBot="1" x14ac:dyDescent="0.35">
      <c r="K53" s="128">
        <v>0</v>
      </c>
      <c r="L53" s="129" t="s">
        <v>106</v>
      </c>
      <c r="M53" s="130">
        <v>9900</v>
      </c>
      <c r="N53" s="130">
        <f>M53*K53</f>
        <v>0</v>
      </c>
      <c r="O53" s="180"/>
    </row>
    <row r="54" spans="7:15" ht="13.5" thickBot="1" x14ac:dyDescent="0.35">
      <c r="O54" s="181"/>
    </row>
    <row r="55" spans="7:15" ht="13.5" thickBot="1" x14ac:dyDescent="0.35">
      <c r="M55" s="22" t="s">
        <v>0</v>
      </c>
      <c r="N55" s="130">
        <f>SUM(N46:N53)</f>
        <v>0</v>
      </c>
      <c r="O55" s="180"/>
    </row>
    <row r="56" spans="7:15" x14ac:dyDescent="0.3">
      <c r="O56" s="181"/>
    </row>
    <row r="57" spans="7:15" ht="13.5" thickBot="1" x14ac:dyDescent="0.35">
      <c r="O57" s="181"/>
    </row>
    <row r="58" spans="7:15" ht="14.5" x14ac:dyDescent="0.35">
      <c r="K58" s="225" t="s">
        <v>109</v>
      </c>
      <c r="L58" s="226"/>
      <c r="M58" s="226"/>
      <c r="N58" s="227"/>
      <c r="O58" s="182"/>
    </row>
    <row r="59" spans="7:15" ht="14.5" x14ac:dyDescent="0.35">
      <c r="K59" s="228" t="s">
        <v>110</v>
      </c>
      <c r="L59" s="229"/>
      <c r="M59" s="229"/>
      <c r="N59" s="230"/>
      <c r="O59" s="182"/>
    </row>
    <row r="60" spans="7:15" ht="15" thickBot="1" x14ac:dyDescent="0.4">
      <c r="K60" s="231" t="s">
        <v>130</v>
      </c>
      <c r="L60" s="232"/>
      <c r="M60" s="232"/>
      <c r="N60" s="233"/>
      <c r="O60" s="182"/>
    </row>
    <row r="61" spans="7:15" ht="13.5" thickBot="1" x14ac:dyDescent="0.35">
      <c r="K61" s="118" t="s">
        <v>39</v>
      </c>
      <c r="L61" s="118" t="s">
        <v>111</v>
      </c>
      <c r="M61" s="118" t="s">
        <v>112</v>
      </c>
      <c r="N61" s="118" t="s">
        <v>113</v>
      </c>
      <c r="O61" s="178"/>
    </row>
    <row r="62" spans="7:15" x14ac:dyDescent="0.3">
      <c r="K62" s="148">
        <v>0</v>
      </c>
      <c r="L62" s="132" t="s">
        <v>114</v>
      </c>
      <c r="M62" s="147" t="s">
        <v>115</v>
      </c>
      <c r="N62" s="150">
        <v>0</v>
      </c>
      <c r="O62" s="174"/>
    </row>
    <row r="63" spans="7:15" x14ac:dyDescent="0.3">
      <c r="K63" s="148">
        <v>0</v>
      </c>
      <c r="L63" s="135" t="s">
        <v>116</v>
      </c>
      <c r="M63" s="148" t="s">
        <v>117</v>
      </c>
      <c r="N63" s="151">
        <v>859.68</v>
      </c>
      <c r="O63" s="174"/>
    </row>
    <row r="64" spans="7:15" x14ac:dyDescent="0.3">
      <c r="K64" s="148">
        <v>0</v>
      </c>
      <c r="L64" s="135" t="s">
        <v>118</v>
      </c>
      <c r="M64" s="148" t="s">
        <v>119</v>
      </c>
      <c r="N64" s="151">
        <v>15703</v>
      </c>
      <c r="O64" s="174"/>
    </row>
    <row r="65" spans="11:15" x14ac:dyDescent="0.3">
      <c r="K65" s="148">
        <v>0</v>
      </c>
      <c r="L65" s="135" t="s">
        <v>120</v>
      </c>
      <c r="M65" s="148" t="s">
        <v>121</v>
      </c>
      <c r="N65" s="151">
        <v>0</v>
      </c>
      <c r="O65" s="174"/>
    </row>
    <row r="66" spans="11:15" x14ac:dyDescent="0.3">
      <c r="K66" s="148">
        <v>0</v>
      </c>
      <c r="L66" s="135" t="s">
        <v>122</v>
      </c>
      <c r="M66" s="148" t="s">
        <v>123</v>
      </c>
      <c r="N66" s="151">
        <v>520.48</v>
      </c>
      <c r="O66" s="174"/>
    </row>
    <row r="67" spans="11:15" x14ac:dyDescent="0.3">
      <c r="K67" s="148">
        <v>0</v>
      </c>
      <c r="L67" s="135" t="s">
        <v>124</v>
      </c>
      <c r="M67" s="148" t="s">
        <v>125</v>
      </c>
      <c r="N67" s="151">
        <v>3920</v>
      </c>
      <c r="O67" s="174"/>
    </row>
    <row r="68" spans="11:15" ht="13.5" thickBot="1" x14ac:dyDescent="0.35">
      <c r="K68" s="149">
        <v>0</v>
      </c>
      <c r="L68" s="138" t="s">
        <v>126</v>
      </c>
      <c r="M68" s="149" t="s">
        <v>127</v>
      </c>
      <c r="N68" s="152">
        <v>595</v>
      </c>
      <c r="O68" s="174"/>
    </row>
    <row r="69" spans="11:15" ht="13.5" thickBot="1" x14ac:dyDescent="0.35"/>
    <row r="70" spans="11:15" ht="15" thickBot="1" x14ac:dyDescent="0.35">
      <c r="M70" s="140" t="s">
        <v>0</v>
      </c>
      <c r="N70" s="130">
        <f>SUM(N62:N69)</f>
        <v>21598.16</v>
      </c>
      <c r="O70" s="175"/>
    </row>
    <row r="71" spans="11:15" ht="13.5" thickBot="1" x14ac:dyDescent="0.35"/>
    <row r="72" spans="11:15" ht="15" thickBot="1" x14ac:dyDescent="0.35">
      <c r="M72" s="140" t="s">
        <v>131</v>
      </c>
      <c r="N72" s="141">
        <v>1000000</v>
      </c>
      <c r="O72" s="176"/>
    </row>
    <row r="73" spans="11:15" ht="13.5" thickBot="1" x14ac:dyDescent="0.35"/>
    <row r="74" spans="11:15" ht="15" thickBot="1" x14ac:dyDescent="0.35">
      <c r="M74" s="142" t="s">
        <v>132</v>
      </c>
      <c r="N74" s="143">
        <f>N70/N72</f>
        <v>2.1598159999999998E-2</v>
      </c>
      <c r="O74" s="177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T10:U10"/>
    <mergeCell ref="L2:M2"/>
    <mergeCell ref="P2:Q2"/>
    <mergeCell ref="B5:F5"/>
    <mergeCell ref="C6:D6"/>
    <mergeCell ref="L9:M9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 xr:uid="{00000000-0002-0000-0200-000000000000}">
      <formula1>$C$26:$C$33</formula1>
    </dataValidation>
    <dataValidation type="list" allowBlank="1" showInputMessage="1" showErrorMessage="1" sqref="H39" xr:uid="{00000000-0002-0000-0200-000001000000}">
      <formula1>$H$29:$H$30</formula1>
    </dataValidation>
    <dataValidation type="list" allowBlank="1" showInputMessage="1" showErrorMessage="1" sqref="H38" xr:uid="{00000000-0002-0000-0200-000002000000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Analisis Costo Total</vt:lpstr>
      <vt:lpstr>Analisis Costo Nomina Personal</vt:lpstr>
      <vt:lpstr>Analisis Costo Roles de Pago</vt:lpstr>
      <vt:lpstr>Analisis Costo Area Contable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2018-04-02T17:08:32Z</dcterms:modified>
</cp:coreProperties>
</file>