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ary\OneDrive\Documentos\Data Solutions\Jefatura Comercial\Documentación Importante\Propuestas\Propuestas UIO\Propuestas Santiago\Protecompu\"/>
    </mc:Choice>
  </mc:AlternateContent>
  <xr:revisionPtr revIDLastSave="18" documentId="00E034D5D4B50680DDBC577713A96E68B7CCFAA0" xr6:coauthVersionLast="24" xr6:coauthVersionMax="24" xr10:uidLastSave="{24BDFC22-9489-4F46-83D0-47ABE0ADD2B2}"/>
  <bookViews>
    <workbookView xWindow="0" yWindow="0" windowWidth="20490" windowHeight="6930" tabRatio="733" xr2:uid="{00000000-000D-0000-FFFF-FFFF00000000}"/>
  </bookViews>
  <sheets>
    <sheet name="Analisis Costo Digitalización" sheetId="14" r:id="rId1"/>
    <sheet name="Analisis de Costo Radicación " sheetId="18" r:id="rId2"/>
    <sheet name="Rendimiento Samsung" sheetId="17" r:id="rId3"/>
  </sheets>
  <externalReferences>
    <externalReference r:id="rId4"/>
  </externalReferences>
  <calcPr calcId="171027"/>
</workbook>
</file>

<file path=xl/calcChain.xml><?xml version="1.0" encoding="utf-8"?>
<calcChain xmlns="http://schemas.openxmlformats.org/spreadsheetml/2006/main">
  <c r="M13" i="14" l="1"/>
  <c r="M11" i="14"/>
  <c r="U5" i="14"/>
  <c r="P4" i="14" l="1"/>
  <c r="P3" i="14"/>
  <c r="M21" i="14"/>
  <c r="M18" i="14"/>
  <c r="M7" i="14"/>
  <c r="M10" i="14" s="1"/>
  <c r="M12" i="14" s="1"/>
  <c r="M15" i="14"/>
  <c r="M22" i="14" l="1"/>
  <c r="N70" i="14"/>
  <c r="N74" i="14" s="1"/>
  <c r="M27" i="14" s="1"/>
  <c r="V2" i="14" l="1"/>
  <c r="N53" i="14" l="1"/>
  <c r="N52" i="14"/>
  <c r="N46" i="14"/>
  <c r="N55" i="14" l="1"/>
  <c r="M26" i="14" s="1"/>
  <c r="M29" i="14" s="1"/>
  <c r="M32" i="14" s="1"/>
  <c r="H40" i="14"/>
  <c r="H36" i="14" l="1"/>
  <c r="H42" i="14" s="1"/>
  <c r="H46" i="14" s="1"/>
  <c r="H48" i="14" l="1"/>
  <c r="H49" i="14" s="1"/>
  <c r="H51" i="14" s="1"/>
  <c r="C15" i="14" s="1"/>
  <c r="E15" i="14" s="1"/>
  <c r="H47" i="14"/>
  <c r="W2" i="14"/>
  <c r="F15" i="14" l="1"/>
  <c r="F17" i="14" s="1"/>
  <c r="F18" i="14" s="1"/>
  <c r="P25" i="14"/>
  <c r="D27" i="18"/>
  <c r="D26" i="18"/>
  <c r="F25" i="18"/>
  <c r="L18" i="18"/>
  <c r="D22" i="18"/>
  <c r="Q15" i="18"/>
  <c r="I21" i="18" s="1"/>
  <c r="L15" i="18"/>
  <c r="E22" i="18"/>
  <c r="E4" i="18"/>
  <c r="J4" i="18" s="1"/>
  <c r="K4" i="18" s="1"/>
  <c r="F22" i="18"/>
  <c r="F4" i="18"/>
  <c r="G4" i="18"/>
  <c r="I6" i="18" s="1"/>
  <c r="AA20" i="14"/>
  <c r="S25" i="14"/>
  <c r="AA17" i="14"/>
  <c r="L37" i="14"/>
  <c r="L33" i="14"/>
  <c r="I24" i="18" l="1"/>
  <c r="F23" i="18"/>
  <c r="G7" i="18"/>
  <c r="G10" i="18" s="1"/>
  <c r="G6" i="18"/>
  <c r="F19" i="14"/>
  <c r="V5" i="14"/>
  <c r="P14" i="14" s="1"/>
  <c r="M33" i="14" s="1"/>
  <c r="M34" i="14" l="1"/>
  <c r="K25" i="18"/>
  <c r="F26" i="18" s="1"/>
  <c r="F28" i="18" s="1"/>
  <c r="K23" i="18"/>
  <c r="F27" i="18" s="1"/>
  <c r="P18" i="14" l="1"/>
  <c r="P35" i="14" s="1"/>
  <c r="P34" i="14"/>
  <c r="M37" i="14"/>
  <c r="F29" i="18"/>
  <c r="P5" i="18" s="1"/>
  <c r="O5" i="18"/>
  <c r="M38" i="14" l="1"/>
  <c r="M41" i="14"/>
  <c r="F30" i="18"/>
  <c r="Q5" i="18" s="1"/>
  <c r="M42" i="14" l="1"/>
  <c r="E7" i="14" s="1"/>
  <c r="F7" i="14" s="1"/>
  <c r="F9" i="14" s="1"/>
  <c r="F10" i="14" s="1"/>
  <c r="P36" i="14"/>
  <c r="P37" i="14" s="1"/>
  <c r="F11" i="1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M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M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M5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O1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<sst xmlns="http://schemas.openxmlformats.org/spreadsheetml/2006/main" count="283" uniqueCount="167">
  <si>
    <t>Total</t>
  </si>
  <si>
    <t>IVA</t>
  </si>
  <si>
    <t>Sub-Total</t>
  </si>
  <si>
    <t xml:space="preserve">Descripción </t>
  </si>
  <si>
    <t>Precio Total</t>
  </si>
  <si>
    <t>Cantidad de Imágenes a Digitalizar</t>
  </si>
  <si>
    <t>Valor Sectorial del Operario</t>
  </si>
  <si>
    <t>Analisis de Sueldos</t>
  </si>
  <si>
    <t>Recursos Varios</t>
  </si>
  <si>
    <t>Operario variable + 35%</t>
  </si>
  <si>
    <t>Decimos - vacaciones - IESS</t>
  </si>
  <si>
    <t>Nuevo esquema de calculo de Comisión</t>
  </si>
  <si>
    <t>Comisión</t>
  </si>
  <si>
    <t>Comisión (13% de subtotal)</t>
  </si>
  <si>
    <t>Margen de Ganancia</t>
  </si>
  <si>
    <t>Objetivo Margen de Utilidad</t>
  </si>
  <si>
    <t>Costo imágenes</t>
  </si>
  <si>
    <t>PVP Imágenes</t>
  </si>
  <si>
    <t>Insumos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</si>
  <si>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</si>
  <si>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</si>
  <si>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</si>
  <si>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</si>
  <si>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</si>
  <si>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</si>
  <si>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</si>
  <si>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</si>
  <si>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</si>
  <si>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</si>
  <si>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</si>
  <si>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</si>
  <si>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</si>
  <si>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</si>
  <si>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</si>
  <si>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</si>
  <si>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</si>
  <si>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</si>
  <si>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</si>
  <si>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</si>
  <si>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</si>
  <si>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</si>
  <si>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</si>
  <si>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</si>
  <si>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</si>
  <si>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</si>
  <si>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</si>
  <si>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</si>
  <si>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</si>
  <si>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</si>
  <si>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</si>
  <si>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</si>
  <si>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</si>
  <si>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</si>
  <si>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</si>
  <si>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</si>
  <si>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</si>
  <si>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</si>
  <si>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</si>
  <si>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</si>
  <si>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</si>
  <si>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</si>
  <si>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</si>
  <si>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</si>
  <si>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 xml:space="preserve">Scanner </t>
  </si>
  <si>
    <t>Digitalización e Indexación</t>
  </si>
  <si>
    <t>Preparación, Clasificación</t>
  </si>
  <si>
    <t>Cantidad</t>
  </si>
  <si>
    <t>Precio Unitario</t>
  </si>
  <si>
    <t>Imágenes</t>
  </si>
  <si>
    <t>Giga-Bites</t>
  </si>
  <si>
    <t xml:space="preserve"> Almacenamiento</t>
  </si>
  <si>
    <t>Propuesta Económica Digitalización e Indexación</t>
  </si>
  <si>
    <t>Calculo de Imágenes en GB</t>
  </si>
  <si>
    <t>Tipo</t>
  </si>
  <si>
    <t>Resolución</t>
  </si>
  <si>
    <t>Modos de Color</t>
  </si>
  <si>
    <t>200 Dpi</t>
  </si>
  <si>
    <t>300 Dpi</t>
  </si>
  <si>
    <t>Color a 24Bits</t>
  </si>
  <si>
    <t xml:space="preserve">Escala de grises a 8 Bits </t>
  </si>
  <si>
    <t>PDF sin Comprimir</t>
  </si>
  <si>
    <t>TIFF sin Comprimir</t>
  </si>
  <si>
    <t>B/N</t>
  </si>
  <si>
    <t>Color</t>
  </si>
  <si>
    <t>Formato de Img.</t>
  </si>
  <si>
    <t>Peso Unitario</t>
  </si>
  <si>
    <t>A2</t>
  </si>
  <si>
    <t>A3</t>
  </si>
  <si>
    <t>A4</t>
  </si>
  <si>
    <t>Size</t>
  </si>
  <si>
    <t xml:space="preserve">Imagen de Texto Impreso </t>
  </si>
  <si>
    <t xml:space="preserve">Imagen de Texto Manuscito </t>
  </si>
  <si>
    <t>Cant. De Imágenes</t>
  </si>
  <si>
    <t>Peso Doc en MB</t>
  </si>
  <si>
    <t>A5</t>
  </si>
  <si>
    <t>A2C</t>
  </si>
  <si>
    <t>A3C</t>
  </si>
  <si>
    <t>A4C</t>
  </si>
  <si>
    <t>A5C</t>
  </si>
  <si>
    <t>MB</t>
  </si>
  <si>
    <t>Peso Total de Img.</t>
  </si>
  <si>
    <t>1 Giga Byte</t>
  </si>
  <si>
    <t>Porcentaje Error</t>
  </si>
  <si>
    <t>Total de Imgenes</t>
  </si>
  <si>
    <t>Total Informacion</t>
  </si>
  <si>
    <t>Incremento Mensual</t>
  </si>
  <si>
    <t>GB</t>
  </si>
  <si>
    <t>Incremento Annual</t>
  </si>
  <si>
    <t>Informacion Annual</t>
  </si>
  <si>
    <t>0 - 100 GIGABYTES</t>
  </si>
  <si>
    <t>101 - 200 GIGABYTES</t>
  </si>
  <si>
    <t>201 - 300 GIGABYTES</t>
  </si>
  <si>
    <t>301 - 400 GIGABYTES</t>
  </si>
  <si>
    <t>401 - 500 GIGABYTES</t>
  </si>
  <si>
    <t>501 - 1000 GIGABYTES</t>
  </si>
  <si>
    <t>RANGOS DE ALMACENAMIENTO</t>
  </si>
  <si>
    <t>1001 - 2000 GIGABYTES</t>
  </si>
  <si>
    <t>MAS DE  10001  GIGABYTES</t>
  </si>
  <si>
    <t>2001 - 10000  GIGABYTES</t>
  </si>
  <si>
    <t>P.V.P. x  GB</t>
  </si>
  <si>
    <t>2 licencias BE Windream Business Edition para LAN Cliente Servidor</t>
  </si>
  <si>
    <t>2 licencia Windream Docview para LAN Cliente Servidor</t>
  </si>
  <si>
    <t>1 licencia Windream Management Console WMC</t>
  </si>
  <si>
    <t xml:space="preserve">1 licencia Windream Extension WMX </t>
  </si>
  <si>
    <t>20 licencias W2P2 Web Portal Pro de contribución</t>
  </si>
  <si>
    <t>64 licencias W2P Web Portal de consulta</t>
  </si>
  <si>
    <t>Implementación y Capacitación</t>
  </si>
  <si>
    <t>Viaticos de Hospedaje</t>
  </si>
  <si>
    <t>Costos de Software de Digitalizacion y Custodia Digital</t>
  </si>
  <si>
    <t>PRECIOS SOFTWARE DE CUSTODIA FISICA WINDREAM</t>
  </si>
  <si>
    <t>SOFTWARE DE CUSTODIA FISICA WINDREAM</t>
  </si>
  <si>
    <t>ABBYY FlexiCapture BPO</t>
  </si>
  <si>
    <t>Licencia para Externalización de Servicios.</t>
  </si>
  <si>
    <t>COMPONENTES</t>
  </si>
  <si>
    <t>REFERENCIAS</t>
  </si>
  <si>
    <t>PRECIO $US</t>
  </si>
  <si>
    <t>ABBYY FlexiCapture TPC Basis</t>
  </si>
  <si>
    <t>L11+LD1</t>
  </si>
  <si>
    <t>Soporte Anual para Basis (SM)</t>
  </si>
  <si>
    <t>SMB</t>
  </si>
  <si>
    <t>ABBYY FlexiCapture TPC</t>
  </si>
  <si>
    <t>TLB+LD1</t>
  </si>
  <si>
    <t>ABBYY FlexiCapture TPC Add-Ons</t>
  </si>
  <si>
    <t>TAO</t>
  </si>
  <si>
    <t>ABBYY FlexiCapture TP (SM)</t>
  </si>
  <si>
    <t>SMT+LD3</t>
  </si>
  <si>
    <t>Servicios Profesionales</t>
  </si>
  <si>
    <t>TPS+TD2</t>
  </si>
  <si>
    <t>Transferencia de Conocimiento</t>
  </si>
  <si>
    <t>TKT+TD3</t>
  </si>
  <si>
    <t>SOFTWARE DE DIGITALIZACION ABBYY</t>
  </si>
  <si>
    <t>OPERARIOS</t>
  </si>
  <si>
    <t>Total Costo Operativo</t>
  </si>
  <si>
    <t>Total Costo de Personal y Costo de Software</t>
  </si>
  <si>
    <t>Páginas totales: 100K; Modalidad de Conteo: TDC</t>
  </si>
  <si>
    <t>Total de Pags. X Licencia</t>
  </si>
  <si>
    <t>Costo por Pagina</t>
  </si>
  <si>
    <t>Calculo varios Operarios</t>
  </si>
  <si>
    <t>TOT</t>
  </si>
  <si>
    <t>OPE1</t>
  </si>
  <si>
    <t>TIMPO DIAS</t>
  </si>
  <si>
    <t xml:space="preserve">TOT </t>
  </si>
  <si>
    <t>OPE2</t>
  </si>
  <si>
    <t>OPE3</t>
  </si>
  <si>
    <t>OPE4</t>
  </si>
  <si>
    <t>Costo + Margen + Comision</t>
  </si>
  <si>
    <t xml:space="preserve">Computador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</si>
</sst>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&quot;$&quot;* #,##0.00_-;\-&quot;$&quot;* #,##0.00_-;_-&quot;$&quot;* &quot;-&quot;??_-;_-@_-"/>
    <numFmt numFmtId="164" formatCode="_-* #,##0.00\ _€_-;\-* #,##0.00\ _€_-;_-* &quot;-&quot;??\ _€_-;_-@_-"/>
    <numFmt numFmtId="165" formatCode="_(&quot;$&quot;\ * #,##0.00_);_(&quot;$&quot;\ * \(#,##0.00\);_(&quot;$&quot;\ * &quot;-&quot;??_);_(@_)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  <numFmt numFmtId="172" formatCode="_-[$$-409]* #,##0.00_ ;_-[$$-409]* \-#,##0.00\ ;_-[$$-409]* &quot;-&quot;??_ ;_-@_ "/>
    <numFmt numFmtId="173" formatCode="0.000"/>
    <numFmt numFmtId="174" formatCode="_-[$$-2C0A]\ * #,##0.00_-;\-[$$-2C0A]\ * #,##0.00_-;_-[$$-2C0A]\ * &quot;-&quot;??_-;_-@_-"/>
  </numFmts>
  <fonts count="2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82">
    <xf numFmtId="0" fontId="0" fillId="0" borderId="0" xfId="0"/>
    <xf numFmtId="0" fontId="5" fillId="4" borderId="0" xfId="0" applyFont="1" applyFill="1"/>
    <xf numFmtId="0" fontId="4" fillId="4" borderId="0" xfId="0" applyFont="1" applyFill="1"/>
    <xf numFmtId="171" fontId="5" fillId="4" borderId="5" xfId="1" applyNumberFormat="1" applyFont="1" applyFill="1" applyBorder="1" applyAlignment="1">
      <alignment horizontal="center"/>
    </xf>
    <xf numFmtId="171" fontId="4" fillId="4" borderId="4" xfId="0" applyNumberFormat="1" applyFont="1" applyFill="1" applyBorder="1"/>
    <xf numFmtId="171" fontId="4" fillId="4" borderId="2" xfId="0" applyNumberFormat="1" applyFont="1" applyFill="1" applyBorder="1"/>
    <xf numFmtId="0" fontId="5" fillId="4" borderId="0" xfId="0" applyFont="1" applyFill="1" applyBorder="1" applyAlignment="1">
      <alignment horizontal="center"/>
    </xf>
    <xf numFmtId="167" fontId="0" fillId="0" borderId="0" xfId="0" applyNumberFormat="1"/>
    <xf numFmtId="0" fontId="6" fillId="11" borderId="1" xfId="0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6" fillId="10" borderId="21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/>
    </xf>
    <xf numFmtId="0" fontId="6" fillId="10" borderId="13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/>
    </xf>
    <xf numFmtId="0" fontId="6" fillId="10" borderId="2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7" xfId="0" applyBorder="1" applyAlignment="1">
      <alignment horizontal="center"/>
    </xf>
    <xf numFmtId="0" fontId="0" fillId="0" borderId="11" xfId="0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2" xfId="0" applyNumberFormat="1" applyBorder="1"/>
    <xf numFmtId="2" fontId="0" fillId="0" borderId="28" xfId="0" applyNumberFormat="1" applyBorder="1"/>
    <xf numFmtId="0" fontId="6" fillId="11" borderId="24" xfId="0" applyFont="1" applyFill="1" applyBorder="1" applyAlignment="1">
      <alignment horizontal="center" vertical="top"/>
    </xf>
    <xf numFmtId="2" fontId="10" fillId="5" borderId="14" xfId="0" applyNumberFormat="1" applyFont="1" applyFill="1" applyBorder="1" applyAlignment="1">
      <alignment horizontal="center"/>
    </xf>
    <xf numFmtId="167" fontId="10" fillId="5" borderId="15" xfId="0" applyNumberFormat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9" xfId="0" applyBorder="1" applyAlignment="1">
      <alignment horizontal="center"/>
    </xf>
    <xf numFmtId="2" fontId="0" fillId="0" borderId="29" xfId="0" applyNumberFormat="1" applyBorder="1" applyAlignment="1">
      <alignment horizontal="center"/>
    </xf>
    <xf numFmtId="2" fontId="0" fillId="0" borderId="29" xfId="0" applyNumberFormat="1" applyBorder="1"/>
    <xf numFmtId="2" fontId="0" fillId="0" borderId="10" xfId="0" applyNumberFormat="1" applyBorder="1"/>
    <xf numFmtId="0" fontId="6" fillId="0" borderId="0" xfId="0" applyFont="1"/>
    <xf numFmtId="0" fontId="4" fillId="11" borderId="30" xfId="0" applyFont="1" applyFill="1" applyBorder="1" applyAlignment="1">
      <alignment horizontal="center"/>
    </xf>
    <xf numFmtId="0" fontId="4" fillId="11" borderId="31" xfId="0" applyFont="1" applyFill="1" applyBorder="1" applyAlignment="1">
      <alignment horizontal="center"/>
    </xf>
    <xf numFmtId="0" fontId="4" fillId="11" borderId="32" xfId="0" applyFont="1" applyFill="1" applyBorder="1" applyAlignment="1">
      <alignment horizontal="center"/>
    </xf>
    <xf numFmtId="0" fontId="4" fillId="11" borderId="2" xfId="0" applyFont="1" applyFill="1" applyBorder="1" applyAlignment="1">
      <alignment horizontal="center"/>
    </xf>
    <xf numFmtId="0" fontId="6" fillId="11" borderId="2" xfId="0" applyFont="1" applyFill="1" applyBorder="1" applyAlignment="1">
      <alignment horizontal="center"/>
    </xf>
    <xf numFmtId="0" fontId="6" fillId="11" borderId="14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6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6" fillId="11" borderId="30" xfId="0" applyFont="1" applyFill="1" applyBorder="1" applyAlignment="1">
      <alignment horizontal="left"/>
    </xf>
    <xf numFmtId="0" fontId="0" fillId="0" borderId="14" xfId="0" applyBorder="1"/>
    <xf numFmtId="0" fontId="4" fillId="11" borderId="11" xfId="0" applyFont="1" applyFill="1" applyBorder="1" applyAlignment="1">
      <alignment horizontal="center"/>
    </xf>
    <xf numFmtId="0" fontId="4" fillId="11" borderId="13" xfId="0" applyFont="1" applyFill="1" applyBorder="1" applyAlignment="1">
      <alignment horizontal="center"/>
    </xf>
    <xf numFmtId="0" fontId="4" fillId="11" borderId="12" xfId="0" applyFont="1" applyFill="1" applyBorder="1" applyAlignment="1">
      <alignment horizontal="center"/>
    </xf>
    <xf numFmtId="0" fontId="4" fillId="11" borderId="14" xfId="0" applyFont="1" applyFill="1" applyBorder="1" applyAlignment="1">
      <alignment horizontal="left"/>
    </xf>
    <xf numFmtId="2" fontId="0" fillId="0" borderId="14" xfId="0" applyNumberFormat="1" applyBorder="1"/>
    <xf numFmtId="0" fontId="0" fillId="0" borderId="33" xfId="0" applyBorder="1"/>
    <xf numFmtId="0" fontId="5" fillId="4" borderId="34" xfId="0" applyFont="1" applyFill="1" applyBorder="1" applyAlignment="1">
      <alignment wrapText="1"/>
    </xf>
    <xf numFmtId="4" fontId="5" fillId="4" borderId="0" xfId="0" applyNumberFormat="1" applyFont="1" applyFill="1" applyBorder="1" applyAlignment="1">
      <alignment horizontal="center"/>
    </xf>
    <xf numFmtId="2" fontId="8" fillId="0" borderId="0" xfId="0" applyNumberFormat="1" applyFont="1" applyAlignment="1">
      <alignment horizontal="center"/>
    </xf>
    <xf numFmtId="2" fontId="0" fillId="0" borderId="35" xfId="0" applyNumberFormat="1" applyBorder="1"/>
    <xf numFmtId="0" fontId="6" fillId="11" borderId="14" xfId="0" applyFont="1" applyFill="1" applyBorder="1"/>
    <xf numFmtId="0" fontId="5" fillId="4" borderId="36" xfId="0" applyFont="1" applyFill="1" applyBorder="1" applyAlignment="1"/>
    <xf numFmtId="171" fontId="5" fillId="4" borderId="33" xfId="1" applyNumberFormat="1" applyFont="1" applyFill="1" applyBorder="1" applyAlignment="1">
      <alignment horizontal="center"/>
    </xf>
    <xf numFmtId="0" fontId="6" fillId="11" borderId="6" xfId="0" applyFont="1" applyFill="1" applyBorder="1" applyAlignment="1">
      <alignment horizontal="left"/>
    </xf>
    <xf numFmtId="0" fontId="6" fillId="11" borderId="31" xfId="0" applyFont="1" applyFill="1" applyBorder="1" applyAlignment="1">
      <alignment horizontal="center"/>
    </xf>
    <xf numFmtId="0" fontId="0" fillId="0" borderId="37" xfId="0" applyBorder="1"/>
    <xf numFmtId="0" fontId="6" fillId="0" borderId="0" xfId="0" applyFont="1" applyAlignment="1">
      <alignment horizontal="center"/>
    </xf>
    <xf numFmtId="0" fontId="0" fillId="0" borderId="2" xfId="0" applyBorder="1"/>
    <xf numFmtId="9" fontId="0" fillId="0" borderId="37" xfId="0" applyNumberFormat="1" applyBorder="1"/>
    <xf numFmtId="0" fontId="3" fillId="0" borderId="36" xfId="0" applyFont="1" applyBorder="1" applyAlignment="1"/>
    <xf numFmtId="2" fontId="0" fillId="0" borderId="33" xfId="0" applyNumberFormat="1" applyBorder="1"/>
    <xf numFmtId="0" fontId="0" fillId="0" borderId="36" xfId="0" applyBorder="1" applyAlignment="1"/>
    <xf numFmtId="9" fontId="0" fillId="0" borderId="0" xfId="0" applyNumberFormat="1" applyAlignment="1">
      <alignment horizontal="center"/>
    </xf>
    <xf numFmtId="0" fontId="5" fillId="4" borderId="38" xfId="0" applyFont="1" applyFill="1" applyBorder="1" applyAlignment="1"/>
    <xf numFmtId="9" fontId="5" fillId="4" borderId="8" xfId="0" applyNumberFormat="1" applyFont="1" applyFill="1" applyBorder="1" applyAlignment="1">
      <alignment horizontal="center"/>
    </xf>
    <xf numFmtId="171" fontId="4" fillId="0" borderId="3" xfId="1" applyNumberFormat="1" applyFont="1" applyFill="1" applyBorder="1" applyAlignment="1">
      <alignment horizontal="center"/>
    </xf>
    <xf numFmtId="0" fontId="11" fillId="2" borderId="0" xfId="0" applyFont="1" applyFill="1"/>
    <xf numFmtId="0" fontId="12" fillId="10" borderId="1" xfId="0" applyFont="1" applyFill="1" applyBorder="1"/>
    <xf numFmtId="0" fontId="12" fillId="2" borderId="14" xfId="0" applyFont="1" applyFill="1" applyBorder="1"/>
    <xf numFmtId="0" fontId="12" fillId="2" borderId="0" xfId="0" applyFont="1" applyFill="1" applyBorder="1"/>
    <xf numFmtId="0" fontId="13" fillId="4" borderId="0" xfId="0" applyFont="1" applyFill="1" applyBorder="1"/>
    <xf numFmtId="166" fontId="13" fillId="0" borderId="0" xfId="1" applyNumberFormat="1" applyFont="1" applyFill="1" applyBorder="1" applyAlignment="1">
      <alignment horizontal="center"/>
    </xf>
    <xf numFmtId="0" fontId="11" fillId="2" borderId="1" xfId="0" applyFont="1" applyFill="1" applyBorder="1"/>
    <xf numFmtId="168" fontId="11" fillId="2" borderId="0" xfId="0" applyNumberFormat="1" applyFont="1" applyFill="1"/>
    <xf numFmtId="0" fontId="12" fillId="2" borderId="18" xfId="0" applyFont="1" applyFill="1" applyBorder="1"/>
    <xf numFmtId="168" fontId="12" fillId="2" borderId="22" xfId="0" applyNumberFormat="1" applyFont="1" applyFill="1" applyBorder="1"/>
    <xf numFmtId="0" fontId="11" fillId="0" borderId="18" xfId="0" applyFont="1" applyFill="1" applyBorder="1"/>
    <xf numFmtId="168" fontId="11" fillId="0" borderId="27" xfId="0" applyNumberFormat="1" applyFont="1" applyFill="1" applyBorder="1" applyAlignment="1">
      <alignment horizontal="right"/>
    </xf>
    <xf numFmtId="44" fontId="11" fillId="2" borderId="0" xfId="0" applyNumberFormat="1" applyFont="1" applyFill="1"/>
    <xf numFmtId="0" fontId="12" fillId="2" borderId="19" xfId="0" applyFont="1" applyFill="1" applyBorder="1"/>
    <xf numFmtId="168" fontId="12" fillId="2" borderId="40" xfId="0" applyNumberFormat="1" applyFont="1" applyFill="1" applyBorder="1"/>
    <xf numFmtId="0" fontId="11" fillId="0" borderId="19" xfId="0" applyFont="1" applyFill="1" applyBorder="1"/>
    <xf numFmtId="168" fontId="11" fillId="0" borderId="40" xfId="0" applyNumberFormat="1" applyFont="1" applyFill="1" applyBorder="1"/>
    <xf numFmtId="0" fontId="11" fillId="2" borderId="0" xfId="0" applyFont="1" applyFill="1" applyBorder="1"/>
    <xf numFmtId="0" fontId="12" fillId="0" borderId="19" xfId="0" applyFont="1" applyFill="1" applyBorder="1"/>
    <xf numFmtId="168" fontId="12" fillId="0" borderId="40" xfId="0" applyNumberFormat="1" applyFont="1" applyFill="1" applyBorder="1"/>
    <xf numFmtId="1" fontId="11" fillId="2" borderId="1" xfId="0" applyNumberFormat="1" applyFont="1" applyFill="1" applyBorder="1"/>
    <xf numFmtId="0" fontId="13" fillId="3" borderId="14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1" fillId="2" borderId="19" xfId="0" applyFont="1" applyFill="1" applyBorder="1"/>
    <xf numFmtId="0" fontId="11" fillId="2" borderId="5" xfId="0" applyFont="1" applyFill="1" applyBorder="1"/>
    <xf numFmtId="167" fontId="11" fillId="2" borderId="0" xfId="0" applyNumberFormat="1" applyFont="1" applyFill="1"/>
    <xf numFmtId="0" fontId="15" fillId="4" borderId="30" xfId="0" applyFont="1" applyFill="1" applyBorder="1" applyAlignment="1">
      <alignment horizontal="center" wrapText="1"/>
    </xf>
    <xf numFmtId="0" fontId="11" fillId="0" borderId="30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170" fontId="15" fillId="4" borderId="32" xfId="0" applyNumberFormat="1" applyFont="1" applyFill="1" applyBorder="1" applyAlignment="1">
      <alignment horizontal="center"/>
    </xf>
    <xf numFmtId="171" fontId="15" fillId="4" borderId="5" xfId="1" applyNumberFormat="1" applyFont="1" applyFill="1" applyBorder="1" applyAlignment="1">
      <alignment horizontal="center"/>
    </xf>
    <xf numFmtId="0" fontId="11" fillId="0" borderId="20" xfId="0" applyFont="1" applyFill="1" applyBorder="1"/>
    <xf numFmtId="168" fontId="11" fillId="9" borderId="28" xfId="0" applyNumberFormat="1" applyFont="1" applyFill="1" applyBorder="1"/>
    <xf numFmtId="0" fontId="15" fillId="4" borderId="6" xfId="0" applyFont="1" applyFill="1" applyBorder="1" applyAlignment="1">
      <alignment horizontal="center"/>
    </xf>
    <xf numFmtId="0" fontId="15" fillId="4" borderId="7" xfId="0" applyFont="1" applyFill="1" applyBorder="1" applyAlignment="1">
      <alignment horizontal="center"/>
    </xf>
    <xf numFmtId="171" fontId="15" fillId="4" borderId="7" xfId="0" applyNumberFormat="1" applyFont="1" applyFill="1" applyBorder="1" applyAlignment="1">
      <alignment horizontal="center"/>
    </xf>
    <xf numFmtId="171" fontId="15" fillId="4" borderId="7" xfId="1" applyNumberFormat="1" applyFont="1" applyFill="1" applyBorder="1" applyAlignment="1">
      <alignment horizontal="center"/>
    </xf>
    <xf numFmtId="0" fontId="15" fillId="4" borderId="0" xfId="0" applyFont="1" applyFill="1"/>
    <xf numFmtId="171" fontId="13" fillId="4" borderId="4" xfId="0" applyNumberFormat="1" applyFont="1" applyFill="1" applyBorder="1"/>
    <xf numFmtId="171" fontId="15" fillId="4" borderId="31" xfId="1" applyNumberFormat="1" applyFont="1" applyFill="1" applyBorder="1" applyAlignment="1">
      <alignment horizontal="center"/>
    </xf>
    <xf numFmtId="171" fontId="15" fillId="4" borderId="39" xfId="1" applyNumberFormat="1" applyFont="1" applyFill="1" applyBorder="1" applyAlignment="1">
      <alignment horizontal="center"/>
    </xf>
    <xf numFmtId="9" fontId="11" fillId="2" borderId="0" xfId="0" applyNumberFormat="1" applyFont="1" applyFill="1"/>
    <xf numFmtId="0" fontId="11" fillId="17" borderId="18" xfId="0" applyFont="1" applyFill="1" applyBorder="1"/>
    <xf numFmtId="168" fontId="11" fillId="17" borderId="18" xfId="4" applyNumberFormat="1" applyFont="1" applyFill="1" applyBorder="1" applyAlignment="1">
      <alignment horizontal="center"/>
    </xf>
    <xf numFmtId="0" fontId="11" fillId="0" borderId="0" xfId="0" applyFont="1" applyFill="1" applyBorder="1"/>
    <xf numFmtId="0" fontId="12" fillId="11" borderId="1" xfId="0" applyFont="1" applyFill="1" applyBorder="1"/>
    <xf numFmtId="0" fontId="13" fillId="4" borderId="0" xfId="0" applyFont="1" applyFill="1"/>
    <xf numFmtId="171" fontId="13" fillId="4" borderId="2" xfId="0" applyNumberFormat="1" applyFont="1" applyFill="1" applyBorder="1"/>
    <xf numFmtId="171" fontId="13" fillId="3" borderId="14" xfId="1" applyNumberFormat="1" applyFont="1" applyFill="1" applyBorder="1" applyAlignment="1">
      <alignment horizontal="center"/>
    </xf>
    <xf numFmtId="0" fontId="11" fillId="17" borderId="19" xfId="0" applyFont="1" applyFill="1" applyBorder="1"/>
    <xf numFmtId="0" fontId="11" fillId="17" borderId="19" xfId="0" applyFont="1" applyFill="1" applyBorder="1" applyAlignment="1">
      <alignment horizontal="center"/>
    </xf>
    <xf numFmtId="166" fontId="11" fillId="0" borderId="18" xfId="1" applyFont="1" applyFill="1" applyBorder="1" applyAlignment="1">
      <alignment horizontal="center"/>
    </xf>
    <xf numFmtId="0" fontId="12" fillId="2" borderId="1" xfId="0" applyFont="1" applyFill="1" applyBorder="1"/>
    <xf numFmtId="0" fontId="11" fillId="17" borderId="20" xfId="0" applyFont="1" applyFill="1" applyBorder="1" applyAlignment="1">
      <alignment horizontal="right"/>
    </xf>
    <xf numFmtId="2" fontId="11" fillId="17" borderId="20" xfId="0" applyNumberFormat="1" applyFont="1" applyFill="1" applyBorder="1" applyAlignment="1">
      <alignment horizontal="center"/>
    </xf>
    <xf numFmtId="0" fontId="11" fillId="0" borderId="19" xfId="0" applyFont="1" applyBorder="1"/>
    <xf numFmtId="166" fontId="11" fillId="0" borderId="19" xfId="1" applyFont="1" applyFill="1" applyBorder="1" applyAlignment="1">
      <alignment horizontal="center"/>
    </xf>
    <xf numFmtId="0" fontId="11" fillId="15" borderId="18" xfId="0" applyFont="1" applyFill="1" applyBorder="1"/>
    <xf numFmtId="168" fontId="11" fillId="15" borderId="18" xfId="4" applyNumberFormat="1" applyFont="1" applyFill="1" applyBorder="1" applyAlignment="1">
      <alignment horizontal="center"/>
    </xf>
    <xf numFmtId="0" fontId="11" fillId="15" borderId="19" xfId="0" applyFont="1" applyFill="1" applyBorder="1"/>
    <xf numFmtId="0" fontId="11" fillId="15" borderId="19" xfId="0" applyFont="1" applyFill="1" applyBorder="1" applyAlignment="1">
      <alignment horizontal="center"/>
    </xf>
    <xf numFmtId="165" fontId="11" fillId="0" borderId="0" xfId="5" applyNumberFormat="1" applyFont="1" applyFill="1" applyBorder="1"/>
    <xf numFmtId="0" fontId="11" fillId="2" borderId="0" xfId="0" applyFont="1" applyFill="1" applyBorder="1" applyAlignment="1">
      <alignment horizontal="right"/>
    </xf>
    <xf numFmtId="168" fontId="12" fillId="8" borderId="14" xfId="0" applyNumberFormat="1" applyFont="1" applyFill="1" applyBorder="1"/>
    <xf numFmtId="0" fontId="15" fillId="4" borderId="4" xfId="0" applyFont="1" applyFill="1" applyBorder="1" applyAlignment="1">
      <alignment horizontal="center" wrapText="1"/>
    </xf>
    <xf numFmtId="4" fontId="15" fillId="4" borderId="30" xfId="0" applyNumberFormat="1" applyFont="1" applyFill="1" applyBorder="1" applyAlignment="1">
      <alignment horizontal="center"/>
    </xf>
    <xf numFmtId="3" fontId="15" fillId="4" borderId="32" xfId="0" applyNumberFormat="1" applyFont="1" applyFill="1" applyBorder="1" applyAlignment="1">
      <alignment horizontal="center"/>
    </xf>
    <xf numFmtId="172" fontId="15" fillId="0" borderId="32" xfId="0" applyNumberFormat="1" applyFont="1" applyBorder="1"/>
    <xf numFmtId="0" fontId="11" fillId="15" borderId="20" xfId="0" applyFont="1" applyFill="1" applyBorder="1" applyAlignment="1">
      <alignment horizontal="right"/>
    </xf>
    <xf numFmtId="2" fontId="11" fillId="15" borderId="20" xfId="0" applyNumberFormat="1" applyFont="1" applyFill="1" applyBorder="1" applyAlignment="1">
      <alignment horizontal="center"/>
    </xf>
    <xf numFmtId="171" fontId="15" fillId="4" borderId="15" xfId="1" applyNumberFormat="1" applyFont="1" applyFill="1" applyBorder="1" applyAlignment="1">
      <alignment horizontal="center"/>
    </xf>
    <xf numFmtId="0" fontId="11" fillId="16" borderId="18" xfId="0" applyFont="1" applyFill="1" applyBorder="1"/>
    <xf numFmtId="168" fontId="11" fillId="16" borderId="18" xfId="4" applyNumberFormat="1" applyFont="1" applyFill="1" applyBorder="1" applyAlignment="1">
      <alignment horizontal="center"/>
    </xf>
    <xf numFmtId="0" fontId="16" fillId="10" borderId="1" xfId="0" applyFont="1" applyFill="1" applyBorder="1"/>
    <xf numFmtId="0" fontId="11" fillId="16" borderId="19" xfId="0" applyFont="1" applyFill="1" applyBorder="1"/>
    <xf numFmtId="0" fontId="11" fillId="16" borderId="19" xfId="0" applyFont="1" applyFill="1" applyBorder="1" applyAlignment="1">
      <alignment horizontal="center"/>
    </xf>
    <xf numFmtId="0" fontId="11" fillId="2" borderId="18" xfId="0" applyFont="1" applyFill="1" applyBorder="1"/>
    <xf numFmtId="9" fontId="11" fillId="2" borderId="22" xfId="0" applyNumberFormat="1" applyFont="1" applyFill="1" applyBorder="1"/>
    <xf numFmtId="0" fontId="11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1" fillId="16" borderId="20" xfId="0" applyFont="1" applyFill="1" applyBorder="1" applyAlignment="1">
      <alignment horizontal="right"/>
    </xf>
    <xf numFmtId="2" fontId="11" fillId="16" borderId="20" xfId="0" applyNumberFormat="1" applyFont="1" applyFill="1" applyBorder="1" applyAlignment="1">
      <alignment horizontal="center"/>
    </xf>
    <xf numFmtId="0" fontId="11" fillId="5" borderId="20" xfId="0" applyFont="1" applyFill="1" applyBorder="1"/>
    <xf numFmtId="2" fontId="11" fillId="5" borderId="28" xfId="0" applyNumberFormat="1" applyFont="1" applyFill="1" applyBorder="1"/>
    <xf numFmtId="0" fontId="11" fillId="0" borderId="20" xfId="0" applyFont="1" applyBorder="1"/>
    <xf numFmtId="166" fontId="11" fillId="0" borderId="20" xfId="1" applyFont="1" applyFill="1" applyBorder="1" applyAlignment="1">
      <alignment horizontal="center"/>
    </xf>
    <xf numFmtId="0" fontId="11" fillId="14" borderId="18" xfId="0" applyFont="1" applyFill="1" applyBorder="1"/>
    <xf numFmtId="168" fontId="11" fillId="14" borderId="18" xfId="4" applyNumberFormat="1" applyFont="1" applyFill="1" applyBorder="1" applyAlignment="1">
      <alignment horizontal="center"/>
    </xf>
    <xf numFmtId="0" fontId="15" fillId="2" borderId="0" xfId="0" applyFont="1" applyFill="1" applyBorder="1"/>
    <xf numFmtId="171" fontId="13" fillId="2" borderId="0" xfId="0" applyNumberFormat="1" applyFont="1" applyFill="1" applyBorder="1"/>
    <xf numFmtId="171" fontId="15" fillId="2" borderId="0" xfId="1" applyNumberFormat="1" applyFont="1" applyFill="1" applyBorder="1" applyAlignment="1">
      <alignment horizontal="center"/>
    </xf>
    <xf numFmtId="0" fontId="11" fillId="14" borderId="19" xfId="0" applyFont="1" applyFill="1" applyBorder="1"/>
    <xf numFmtId="0" fontId="11" fillId="14" borderId="19" xfId="0" applyFont="1" applyFill="1" applyBorder="1" applyAlignment="1">
      <alignment horizontal="center"/>
    </xf>
    <xf numFmtId="0" fontId="11" fillId="14" borderId="20" xfId="0" applyFont="1" applyFill="1" applyBorder="1" applyAlignment="1">
      <alignment horizontal="right"/>
    </xf>
    <xf numFmtId="2" fontId="11" fillId="14" borderId="20" xfId="0" applyNumberFormat="1" applyFont="1" applyFill="1" applyBorder="1" applyAlignment="1">
      <alignment horizontal="center"/>
    </xf>
    <xf numFmtId="168" fontId="11" fillId="8" borderId="15" xfId="0" applyNumberFormat="1" applyFont="1" applyFill="1" applyBorder="1" applyAlignment="1">
      <alignment horizontal="center"/>
    </xf>
    <xf numFmtId="0" fontId="17" fillId="5" borderId="14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/>
    </xf>
    <xf numFmtId="0" fontId="14" fillId="5" borderId="1" xfId="0" applyFont="1" applyFill="1" applyBorder="1" applyAlignment="1">
      <alignment horizontal="center" vertical="center"/>
    </xf>
    <xf numFmtId="3" fontId="17" fillId="5" borderId="1" xfId="0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171" fontId="17" fillId="5" borderId="1" xfId="1" applyNumberFormat="1" applyFont="1" applyFill="1" applyBorder="1" applyAlignment="1">
      <alignment horizontal="center" vertical="center"/>
    </xf>
    <xf numFmtId="0" fontId="12" fillId="5" borderId="11" xfId="0" applyFont="1" applyFill="1" applyBorder="1" applyAlignment="1">
      <alignment wrapText="1"/>
    </xf>
    <xf numFmtId="3" fontId="12" fillId="5" borderId="12" xfId="0" applyNumberFormat="1" applyFont="1" applyFill="1" applyBorder="1"/>
    <xf numFmtId="168" fontId="11" fillId="8" borderId="14" xfId="0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171" fontId="15" fillId="0" borderId="1" xfId="1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168" fontId="11" fillId="0" borderId="18" xfId="4" applyNumberFormat="1" applyFont="1" applyFill="1" applyBorder="1" applyAlignment="1">
      <alignment horizontal="center"/>
    </xf>
    <xf numFmtId="0" fontId="11" fillId="2" borderId="0" xfId="0" applyFont="1" applyFill="1" applyAlignment="1">
      <alignment horizontal="right"/>
    </xf>
    <xf numFmtId="44" fontId="11" fillId="0" borderId="19" xfId="0" applyNumberFormat="1" applyFont="1" applyFill="1" applyBorder="1" applyAlignment="1">
      <alignment horizontal="center"/>
    </xf>
    <xf numFmtId="9" fontId="12" fillId="5" borderId="12" xfId="0" applyNumberFormat="1" applyFont="1" applyFill="1" applyBorder="1"/>
    <xf numFmtId="0" fontId="11" fillId="0" borderId="20" xfId="0" applyFont="1" applyFill="1" applyBorder="1" applyAlignment="1">
      <alignment horizontal="center"/>
    </xf>
    <xf numFmtId="0" fontId="11" fillId="2" borderId="16" xfId="0" applyFont="1" applyFill="1" applyBorder="1"/>
    <xf numFmtId="168" fontId="11" fillId="2" borderId="18" xfId="0" applyNumberFormat="1" applyFont="1" applyFill="1" applyBorder="1"/>
    <xf numFmtId="0" fontId="11" fillId="2" borderId="17" xfId="0" applyFont="1" applyFill="1" applyBorder="1"/>
    <xf numFmtId="168" fontId="11" fillId="2" borderId="41" xfId="0" applyNumberFormat="1" applyFont="1" applyFill="1" applyBorder="1"/>
    <xf numFmtId="174" fontId="11" fillId="2" borderId="0" xfId="0" applyNumberFormat="1" applyFont="1" applyFill="1"/>
    <xf numFmtId="0" fontId="15" fillId="0" borderId="0" xfId="0" applyFont="1" applyFill="1" applyBorder="1" applyAlignment="1">
      <alignment horizontal="center"/>
    </xf>
    <xf numFmtId="168" fontId="11" fillId="8" borderId="14" xfId="0" applyNumberFormat="1" applyFont="1" applyFill="1" applyBorder="1"/>
    <xf numFmtId="2" fontId="11" fillId="2" borderId="0" xfId="0" applyNumberFormat="1" applyFont="1" applyFill="1"/>
    <xf numFmtId="1" fontId="12" fillId="12" borderId="1" xfId="0" applyNumberFormat="1" applyFont="1" applyFill="1" applyBorder="1" applyAlignment="1">
      <alignment horizontal="center" vertical="center"/>
    </xf>
    <xf numFmtId="0" fontId="12" fillId="12" borderId="1" xfId="0" applyFont="1" applyFill="1" applyBorder="1" applyAlignment="1">
      <alignment horizontal="left"/>
    </xf>
    <xf numFmtId="0" fontId="12" fillId="0" borderId="1" xfId="0" applyFont="1" applyFill="1" applyBorder="1"/>
    <xf numFmtId="0" fontId="11" fillId="5" borderId="1" xfId="0" applyFont="1" applyFill="1" applyBorder="1" applyAlignment="1">
      <alignment horizontal="left"/>
    </xf>
    <xf numFmtId="0" fontId="11" fillId="2" borderId="21" xfId="0" applyFont="1" applyFill="1" applyBorder="1"/>
    <xf numFmtId="9" fontId="11" fillId="2" borderId="0" xfId="5" applyFont="1" applyFill="1"/>
    <xf numFmtId="168" fontId="11" fillId="2" borderId="20" xfId="0" applyNumberFormat="1" applyFont="1" applyFill="1" applyBorder="1"/>
    <xf numFmtId="0" fontId="12" fillId="5" borderId="1" xfId="0" applyFont="1" applyFill="1" applyBorder="1" applyAlignment="1">
      <alignment horizontal="center" vertical="center"/>
    </xf>
    <xf numFmtId="0" fontId="14" fillId="0" borderId="1" xfId="0" applyFont="1" applyFill="1" applyBorder="1"/>
    <xf numFmtId="2" fontId="14" fillId="2" borderId="1" xfId="0" applyNumberFormat="1" applyFont="1" applyFill="1" applyBorder="1" applyAlignment="1">
      <alignment horizontal="left"/>
    </xf>
    <xf numFmtId="0" fontId="11" fillId="5" borderId="2" xfId="0" applyFont="1" applyFill="1" applyBorder="1"/>
    <xf numFmtId="169" fontId="11" fillId="5" borderId="14" xfId="0" applyNumberFormat="1" applyFont="1" applyFill="1" applyBorder="1"/>
    <xf numFmtId="0" fontId="11" fillId="2" borderId="24" xfId="0" applyFont="1" applyFill="1" applyBorder="1"/>
    <xf numFmtId="0" fontId="11" fillId="2" borderId="26" xfId="0" applyFont="1" applyFill="1" applyBorder="1"/>
    <xf numFmtId="9" fontId="11" fillId="2" borderId="24" xfId="0" applyNumberFormat="1" applyFont="1" applyFill="1" applyBorder="1"/>
    <xf numFmtId="0" fontId="18" fillId="13" borderId="14" xfId="0" applyFont="1" applyFill="1" applyBorder="1" applyAlignment="1">
      <alignment horizontal="center" vertical="center"/>
    </xf>
    <xf numFmtId="0" fontId="19" fillId="0" borderId="31" xfId="0" applyFont="1" applyBorder="1" applyAlignment="1">
      <alignment vertical="center"/>
    </xf>
    <xf numFmtId="2" fontId="11" fillId="2" borderId="24" xfId="0" applyNumberFormat="1" applyFont="1" applyFill="1" applyBorder="1"/>
    <xf numFmtId="0" fontId="19" fillId="0" borderId="39" xfId="0" applyFont="1" applyBorder="1" applyAlignment="1">
      <alignment vertical="center"/>
    </xf>
    <xf numFmtId="9" fontId="11" fillId="2" borderId="26" xfId="0" applyNumberFormat="1" applyFont="1" applyFill="1" applyBorder="1" applyAlignment="1">
      <alignment horizontal="left"/>
    </xf>
    <xf numFmtId="1" fontId="11" fillId="2" borderId="24" xfId="0" applyNumberFormat="1" applyFont="1" applyFill="1" applyBorder="1"/>
    <xf numFmtId="0" fontId="14" fillId="12" borderId="1" xfId="0" applyFont="1" applyFill="1" applyBorder="1"/>
    <xf numFmtId="2" fontId="14" fillId="12" borderId="24" xfId="0" applyNumberFormat="1" applyFont="1" applyFill="1" applyBorder="1"/>
    <xf numFmtId="0" fontId="14" fillId="12" borderId="26" xfId="0" applyFont="1" applyFill="1" applyBorder="1"/>
    <xf numFmtId="0" fontId="19" fillId="0" borderId="15" xfId="0" applyFont="1" applyBorder="1" applyAlignment="1">
      <alignment vertical="center"/>
    </xf>
    <xf numFmtId="0" fontId="11" fillId="2" borderId="14" xfId="0" applyFont="1" applyFill="1" applyBorder="1" applyAlignment="1">
      <alignment horizontal="center"/>
    </xf>
    <xf numFmtId="0" fontId="11" fillId="2" borderId="14" xfId="0" applyFont="1" applyFill="1" applyBorder="1"/>
    <xf numFmtId="44" fontId="11" fillId="2" borderId="14" xfId="0" applyNumberFormat="1" applyFont="1" applyFill="1" applyBorder="1"/>
    <xf numFmtId="0" fontId="11" fillId="2" borderId="39" xfId="0" applyFont="1" applyFill="1" applyBorder="1" applyAlignment="1">
      <alignment horizontal="center" vertical="center"/>
    </xf>
    <xf numFmtId="0" fontId="11" fillId="2" borderId="31" xfId="0" applyFont="1" applyFill="1" applyBorder="1"/>
    <xf numFmtId="0" fontId="11" fillId="2" borderId="31" xfId="0" applyFont="1" applyFill="1" applyBorder="1" applyAlignment="1">
      <alignment horizontal="center" vertical="center"/>
    </xf>
    <xf numFmtId="44" fontId="11" fillId="2" borderId="31" xfId="0" applyNumberFormat="1" applyFont="1" applyFill="1" applyBorder="1" applyAlignment="1">
      <alignment horizontal="center" vertical="center"/>
    </xf>
    <xf numFmtId="0" fontId="11" fillId="2" borderId="39" xfId="0" applyFont="1" applyFill="1" applyBorder="1"/>
    <xf numFmtId="44" fontId="11" fillId="2" borderId="39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5" xfId="0" applyFont="1" applyFill="1" applyBorder="1"/>
    <xf numFmtId="44" fontId="11" fillId="2" borderId="15" xfId="0" applyNumberFormat="1" applyFont="1" applyFill="1" applyBorder="1" applyAlignment="1">
      <alignment horizontal="center" vertical="center"/>
    </xf>
    <xf numFmtId="0" fontId="14" fillId="7" borderId="14" xfId="0" applyFont="1" applyFill="1" applyBorder="1" applyAlignment="1">
      <alignment horizontal="center" vertical="center"/>
    </xf>
    <xf numFmtId="1" fontId="11" fillId="2" borderId="14" xfId="0" applyNumberFormat="1" applyFont="1" applyFill="1" applyBorder="1"/>
    <xf numFmtId="0" fontId="14" fillId="12" borderId="14" xfId="0" applyFont="1" applyFill="1" applyBorder="1" applyAlignment="1">
      <alignment horizontal="center" vertical="center"/>
    </xf>
    <xf numFmtId="173" fontId="11" fillId="2" borderId="14" xfId="5" applyNumberFormat="1" applyFont="1" applyFill="1" applyBorder="1"/>
    <xf numFmtId="44" fontId="3" fillId="2" borderId="1" xfId="7" applyFont="1" applyFill="1" applyBorder="1"/>
    <xf numFmtId="0" fontId="14" fillId="7" borderId="30" xfId="0" applyFont="1" applyFill="1" applyBorder="1" applyAlignment="1">
      <alignment horizontal="center"/>
    </xf>
    <xf numFmtId="0" fontId="14" fillId="7" borderId="34" xfId="0" applyFont="1" applyFill="1" applyBorder="1" applyAlignment="1">
      <alignment horizontal="center"/>
    </xf>
    <xf numFmtId="0" fontId="14" fillId="7" borderId="32" xfId="0" applyFont="1" applyFill="1" applyBorder="1" applyAlignment="1">
      <alignment horizontal="center"/>
    </xf>
    <xf numFmtId="0" fontId="14" fillId="7" borderId="4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4" fillId="7" borderId="5" xfId="0" applyFont="1" applyFill="1" applyBorder="1" applyAlignment="1">
      <alignment horizontal="center"/>
    </xf>
    <xf numFmtId="0" fontId="14" fillId="7" borderId="6" xfId="0" applyFont="1" applyFill="1" applyBorder="1" applyAlignment="1">
      <alignment horizontal="center"/>
    </xf>
    <xf numFmtId="0" fontId="14" fillId="7" borderId="8" xfId="0" applyFont="1" applyFill="1" applyBorder="1" applyAlignment="1">
      <alignment horizontal="center"/>
    </xf>
    <xf numFmtId="0" fontId="14" fillId="7" borderId="7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/>
    </xf>
    <xf numFmtId="0" fontId="13" fillId="3" borderId="23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1" fillId="2" borderId="31" xfId="0" applyFont="1" applyFill="1" applyBorder="1" applyAlignment="1">
      <alignment horizontal="center" vertical="center"/>
    </xf>
    <xf numFmtId="0" fontId="11" fillId="2" borderId="39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44" fontId="11" fillId="2" borderId="31" xfId="0" applyNumberFormat="1" applyFont="1" applyFill="1" applyBorder="1" applyAlignment="1">
      <alignment horizontal="center" vertical="center"/>
    </xf>
    <xf numFmtId="44" fontId="11" fillId="2" borderId="39" xfId="0" applyNumberFormat="1" applyFont="1" applyFill="1" applyBorder="1" applyAlignment="1">
      <alignment horizontal="center" vertical="center"/>
    </xf>
    <xf numFmtId="44" fontId="11" fillId="2" borderId="15" xfId="0" applyNumberFormat="1" applyFont="1" applyFill="1" applyBorder="1" applyAlignment="1">
      <alignment horizontal="center" vertical="center"/>
    </xf>
    <xf numFmtId="0" fontId="14" fillId="6" borderId="30" xfId="0" applyFont="1" applyFill="1" applyBorder="1" applyAlignment="1">
      <alignment horizontal="center"/>
    </xf>
    <xf numFmtId="0" fontId="14" fillId="6" borderId="32" xfId="0" applyFont="1" applyFill="1" applyBorder="1" applyAlignment="1">
      <alignment horizontal="center"/>
    </xf>
    <xf numFmtId="0" fontId="14" fillId="7" borderId="2" xfId="0" applyFont="1" applyFill="1" applyBorder="1" applyAlignment="1">
      <alignment horizontal="center"/>
    </xf>
    <xf numFmtId="0" fontId="14" fillId="7" borderId="3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4" fillId="6" borderId="2" xfId="0" applyFont="1" applyFill="1" applyBorder="1" applyAlignment="1">
      <alignment horizontal="center"/>
    </xf>
    <xf numFmtId="0" fontId="14" fillId="6" borderId="3" xfId="0" applyFont="1" applyFill="1" applyBorder="1" applyAlignment="1">
      <alignment horizontal="center"/>
    </xf>
    <xf numFmtId="0" fontId="13" fillId="3" borderId="30" xfId="0" applyFont="1" applyFill="1" applyBorder="1" applyAlignment="1">
      <alignment horizontal="center"/>
    </xf>
    <xf numFmtId="0" fontId="13" fillId="3" borderId="32" xfId="0" applyFont="1" applyFill="1" applyBorder="1" applyAlignment="1">
      <alignment horizontal="center"/>
    </xf>
    <xf numFmtId="0" fontId="9" fillId="11" borderId="24" xfId="0" applyFont="1" applyFill="1" applyBorder="1" applyAlignment="1">
      <alignment horizontal="center"/>
    </xf>
    <xf numFmtId="0" fontId="9" fillId="11" borderId="25" xfId="0" applyFont="1" applyFill="1" applyBorder="1" applyAlignment="1">
      <alignment horizontal="center"/>
    </xf>
    <xf numFmtId="0" fontId="9" fillId="11" borderId="26" xfId="0" applyFont="1" applyFill="1" applyBorder="1" applyAlignment="1">
      <alignment horizontal="center"/>
    </xf>
    <xf numFmtId="0" fontId="9" fillId="10" borderId="2" xfId="0" applyFont="1" applyFill="1" applyBorder="1" applyAlignment="1">
      <alignment horizontal="center" vertical="center"/>
    </xf>
    <xf numFmtId="0" fontId="9" fillId="10" borderId="23" xfId="0" applyFont="1" applyFill="1" applyBorder="1" applyAlignment="1">
      <alignment horizontal="center" vertical="center"/>
    </xf>
    <xf numFmtId="0" fontId="9" fillId="10" borderId="3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/>
    </xf>
    <xf numFmtId="0" fontId="4" fillId="11" borderId="23" xfId="0" applyFont="1" applyFill="1" applyBorder="1" applyAlignment="1">
      <alignment horizontal="center"/>
    </xf>
    <xf numFmtId="0" fontId="4" fillId="11" borderId="3" xfId="0" applyFont="1" applyFill="1" applyBorder="1" applyAlignment="1">
      <alignment horizontal="center"/>
    </xf>
  </cellXfs>
  <cellStyles count="10">
    <cellStyle name="Currency 2" xfId="2" xr:uid="{00000000-0005-0000-0000-000000000000}"/>
    <cellStyle name="Currency 2 2" xfId="8" xr:uid="{00000000-0005-0000-0000-000000000000}"/>
    <cellStyle name="Millares 2" xfId="6" xr:uid="{00000000-0005-0000-0000-000002000000}"/>
    <cellStyle name="Milliers" xfId="4" builtinId="3"/>
    <cellStyle name="Moneda 2" xfId="3" xr:uid="{00000000-0005-0000-0000-000004000000}"/>
    <cellStyle name="Moneda 2 2" xfId="9" xr:uid="{00000000-0005-0000-0000-000004000000}"/>
    <cellStyle name="Monétaire" xfId="1" builtinId="4"/>
    <cellStyle name="Monétaire 2" xfId="7" xr:uid="{00000000-0005-0000-0000-000034000000}"/>
    <cellStyle name="Normal" xfId="0" builtinId="0"/>
    <cellStyle name="Pourcentage" xfId="5" builtinId="5"/>
  </cellStyles>
  <dxfs count="1">
    <dxf>
      <font>
        <b/>
        <i val="0"/>
        <color theme="0"/>
      </font>
      <fill>
        <patternFill>
          <bgColor rgb="FFC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178743</xdr:colOff>
      <xdr:row>36</xdr:row>
      <xdr:rowOff>123266</xdr:rowOff>
    </xdr:from>
    <xdr:to>
      <xdr:col>5</xdr:col>
      <xdr:colOff>1313738</xdr:colOff>
      <xdr:row>48</xdr:row>
      <xdr:rowOff>112060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0F3D4C4-CBCA-4C75-8926-9B281A7156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1419" y="6420972"/>
          <a:ext cx="2782260" cy="20842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[1]Hoja1!$A$1:$J$37" spid="_x0000_s105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us\Desktop\JCA%20Varios\JCA\2014\DATA%20COMERCIAL\CLIENTE%20DIGITAL\SAMSUNG\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74"/>
  <sheetViews>
    <sheetView showGridLines="0" tabSelected="1" zoomScale="85" zoomScaleNormal="85" workbookViewId="0">
      <selection activeCell="B19" sqref="B19"/>
    </sheetView>
  </sheetViews>
  <sheetFormatPr baseColWidth="10" defaultColWidth="8.7265625" defaultRowHeight="13" x14ac:dyDescent="0.3"/>
  <cols>
    <col min="1" max="1" width="7.81640625" style="82" customWidth="1"/>
    <col min="2" max="2" width="25.54296875" style="82" bestFit="1" customWidth="1"/>
    <col min="3" max="3" width="9.90625" style="82" bestFit="1" customWidth="1"/>
    <col min="4" max="4" width="10.26953125" style="82" bestFit="1" customWidth="1"/>
    <col min="5" max="5" width="14.6328125" style="82" bestFit="1" customWidth="1"/>
    <col min="6" max="6" width="20.1796875" style="82" bestFit="1" customWidth="1"/>
    <col min="7" max="7" width="17.6328125" style="82" bestFit="1" customWidth="1"/>
    <col min="8" max="8" width="12.453125" style="82" bestFit="1" customWidth="1"/>
    <col min="9" max="9" width="4.54296875" style="82" bestFit="1" customWidth="1"/>
    <col min="10" max="11" width="12" style="82" customWidth="1"/>
    <col min="12" max="12" width="43.54296875" style="82" customWidth="1"/>
    <col min="13" max="13" width="22.453125" style="82" bestFit="1" customWidth="1"/>
    <col min="14" max="14" width="11" style="82" bestFit="1" customWidth="1"/>
    <col min="15" max="15" width="34.81640625" style="82" customWidth="1"/>
    <col min="16" max="16" width="25.26953125" style="82" customWidth="1"/>
    <col min="17" max="17" width="10.453125" style="82" bestFit="1" customWidth="1"/>
    <col min="18" max="18" width="29.81640625" style="82" customWidth="1"/>
    <col min="19" max="19" width="19.453125" style="82" customWidth="1"/>
    <col min="20" max="20" width="14.54296875" style="82" customWidth="1"/>
    <col min="21" max="21" width="12.81640625" style="82" customWidth="1"/>
    <col min="22" max="22" width="13.1796875" style="82" customWidth="1"/>
    <col min="23" max="24" width="8.7265625" style="82"/>
    <col min="25" max="25" width="9.7265625" style="82" customWidth="1"/>
    <col min="26" max="16384" width="8.7265625" style="82"/>
  </cols>
  <sheetData>
    <row r="1" spans="1:27" ht="13.5" thickBot="1" x14ac:dyDescent="0.35">
      <c r="S1" s="83" t="s">
        <v>21</v>
      </c>
      <c r="T1" s="83" t="s">
        <v>22</v>
      </c>
      <c r="U1" s="83" t="s">
        <v>23</v>
      </c>
      <c r="V1" s="83" t="s">
        <v>24</v>
      </c>
      <c r="W1" s="83" t="s">
        <v>0</v>
      </c>
    </row>
    <row r="2" spans="1:27" ht="15" thickBot="1" x14ac:dyDescent="0.4">
      <c r="B2" s="84"/>
      <c r="C2" s="84"/>
      <c r="D2" s="85"/>
      <c r="E2" s="86"/>
      <c r="F2" s="87"/>
      <c r="L2" s="264" t="s">
        <v>7</v>
      </c>
      <c r="M2" s="265"/>
      <c r="O2" s="269" t="s">
        <v>8</v>
      </c>
      <c r="P2" s="270"/>
      <c r="R2" s="82" t="s">
        <v>20</v>
      </c>
      <c r="S2" s="88">
        <v>800</v>
      </c>
      <c r="T2" s="88">
        <v>22</v>
      </c>
      <c r="U2" s="88">
        <v>1</v>
      </c>
      <c r="V2" s="88">
        <f>T2</f>
        <v>22</v>
      </c>
      <c r="W2" s="88">
        <f>S2/36*T2*U2</f>
        <v>488.88888888888886</v>
      </c>
    </row>
    <row r="3" spans="1:27" x14ac:dyDescent="0.3">
      <c r="G3" s="89"/>
      <c r="L3" s="90" t="s">
        <v>6</v>
      </c>
      <c r="M3" s="91">
        <v>375</v>
      </c>
      <c r="O3" s="92" t="s">
        <v>63</v>
      </c>
      <c r="P3" s="93">
        <f>(2000/36)</f>
        <v>55.555555555555557</v>
      </c>
    </row>
    <row r="4" spans="1:27" ht="13.5" thickBot="1" x14ac:dyDescent="0.35">
      <c r="G4" s="94"/>
      <c r="H4" s="89"/>
      <c r="I4" s="89"/>
      <c r="J4" s="89"/>
      <c r="K4" s="89"/>
      <c r="L4" s="95" t="s">
        <v>9</v>
      </c>
      <c r="M4" s="96"/>
      <c r="O4" s="97" t="s">
        <v>166</v>
      </c>
      <c r="P4" s="98">
        <f>(800/36)</f>
        <v>22.222222222222221</v>
      </c>
      <c r="S4" s="83" t="s">
        <v>26</v>
      </c>
      <c r="T4" s="83" t="s">
        <v>27</v>
      </c>
      <c r="U4" s="83" t="s">
        <v>22</v>
      </c>
      <c r="V4" s="83" t="s">
        <v>0</v>
      </c>
    </row>
    <row r="5" spans="1:27" ht="13.5" thickBot="1" x14ac:dyDescent="0.35">
      <c r="B5" s="255" t="s">
        <v>71</v>
      </c>
      <c r="C5" s="256"/>
      <c r="D5" s="256"/>
      <c r="E5" s="256"/>
      <c r="F5" s="257"/>
      <c r="G5" s="99"/>
      <c r="L5" s="100" t="s">
        <v>10</v>
      </c>
      <c r="M5" s="101">
        <v>151.4</v>
      </c>
      <c r="O5" s="97" t="s">
        <v>18</v>
      </c>
      <c r="P5" s="98">
        <v>50</v>
      </c>
      <c r="R5" s="82" t="s">
        <v>25</v>
      </c>
      <c r="S5" s="88">
        <v>600</v>
      </c>
      <c r="T5" s="88">
        <v>1</v>
      </c>
      <c r="U5" s="88">
        <f>V2</f>
        <v>22</v>
      </c>
      <c r="V5" s="102">
        <f>S5/36*T5*U5</f>
        <v>366.66666666666669</v>
      </c>
    </row>
    <row r="6" spans="1:27" ht="15.75" customHeight="1" thickBot="1" x14ac:dyDescent="0.35">
      <c r="B6" s="103" t="s">
        <v>3</v>
      </c>
      <c r="C6" s="271" t="s">
        <v>66</v>
      </c>
      <c r="D6" s="272"/>
      <c r="E6" s="103" t="s">
        <v>67</v>
      </c>
      <c r="F6" s="104" t="s">
        <v>4</v>
      </c>
      <c r="L6" s="105" t="s">
        <v>151</v>
      </c>
      <c r="M6" s="106">
        <v>1</v>
      </c>
      <c r="O6" s="97"/>
      <c r="P6" s="98"/>
      <c r="U6" s="107"/>
    </row>
    <row r="7" spans="1:27" ht="13.5" thickBot="1" x14ac:dyDescent="0.35">
      <c r="A7" s="99"/>
      <c r="B7" s="108" t="s">
        <v>65</v>
      </c>
      <c r="C7" s="109">
        <v>2000</v>
      </c>
      <c r="D7" s="110" t="s">
        <v>68</v>
      </c>
      <c r="E7" s="111">
        <f>M42</f>
        <v>0.98519915579999995</v>
      </c>
      <c r="F7" s="112">
        <f>E7*C7</f>
        <v>1970.3983115999999</v>
      </c>
      <c r="L7" s="113" t="s">
        <v>158</v>
      </c>
      <c r="M7" s="114">
        <f>SUM(M3:M5)*M6</f>
        <v>526.4</v>
      </c>
      <c r="O7" s="97"/>
      <c r="P7" s="98"/>
    </row>
    <row r="8" spans="1:27" ht="13.5" thickBot="1" x14ac:dyDescent="0.35">
      <c r="B8" s="115" t="s">
        <v>64</v>
      </c>
      <c r="C8" s="115"/>
      <c r="D8" s="116"/>
      <c r="E8" s="117"/>
      <c r="F8" s="118"/>
      <c r="O8" s="97"/>
      <c r="P8" s="98"/>
    </row>
    <row r="9" spans="1:27" ht="15" thickBot="1" x14ac:dyDescent="0.4">
      <c r="B9" s="119"/>
      <c r="C9" s="119"/>
      <c r="D9" s="119"/>
      <c r="E9" s="120" t="s">
        <v>2</v>
      </c>
      <c r="F9" s="121">
        <f>SUM(F7:F8)</f>
        <v>1970.3983115999999</v>
      </c>
      <c r="L9" s="269" t="s">
        <v>157</v>
      </c>
      <c r="M9" s="270"/>
      <c r="O9" s="97"/>
      <c r="P9" s="98"/>
    </row>
    <row r="10" spans="1:27" ht="15" thickBot="1" x14ac:dyDescent="0.4">
      <c r="B10" s="119"/>
      <c r="C10" s="119"/>
      <c r="D10" s="119"/>
      <c r="E10" s="120" t="s">
        <v>1</v>
      </c>
      <c r="F10" s="122">
        <f>F9*G10</f>
        <v>236.44779739199998</v>
      </c>
      <c r="G10" s="123">
        <v>0.12</v>
      </c>
      <c r="L10" s="124" t="s">
        <v>159</v>
      </c>
      <c r="M10" s="125">
        <f>+M7</f>
        <v>526.4</v>
      </c>
      <c r="N10" s="126"/>
      <c r="O10" s="97"/>
      <c r="P10" s="98"/>
      <c r="Q10" s="99"/>
      <c r="R10" s="264" t="s">
        <v>19</v>
      </c>
      <c r="S10" s="265"/>
      <c r="U10" s="83" t="s">
        <v>28</v>
      </c>
      <c r="V10" s="83" t="s">
        <v>29</v>
      </c>
      <c r="W10" s="83" t="s">
        <v>30</v>
      </c>
      <c r="X10" s="83" t="s">
        <v>0</v>
      </c>
      <c r="Y10" s="127" t="s">
        <v>37</v>
      </c>
      <c r="Z10" s="127" t="s">
        <v>0</v>
      </c>
    </row>
    <row r="11" spans="1:27" ht="13.5" thickBot="1" x14ac:dyDescent="0.35">
      <c r="B11" s="128"/>
      <c r="C11" s="119"/>
      <c r="D11" s="119"/>
      <c r="E11" s="129" t="s">
        <v>0</v>
      </c>
      <c r="F11" s="130">
        <f>SUM(F9:F10)</f>
        <v>2206.8461089920002</v>
      </c>
      <c r="L11" s="131" t="s">
        <v>160</v>
      </c>
      <c r="M11" s="132">
        <f>T2</f>
        <v>22</v>
      </c>
      <c r="N11" s="126"/>
      <c r="O11" s="97"/>
      <c r="P11" s="98"/>
      <c r="R11" s="92"/>
      <c r="S11" s="133">
        <v>0</v>
      </c>
      <c r="U11" s="88"/>
      <c r="V11" s="88"/>
      <c r="W11" s="88"/>
      <c r="X11" s="88"/>
      <c r="Y11" s="88"/>
      <c r="Z11" s="134"/>
    </row>
    <row r="12" spans="1:27" ht="13.5" thickBot="1" x14ac:dyDescent="0.35">
      <c r="C12" s="89"/>
      <c r="D12" s="89"/>
      <c r="L12" s="135" t="s">
        <v>161</v>
      </c>
      <c r="M12" s="136">
        <f>+(M10/22)*M11</f>
        <v>526.4</v>
      </c>
      <c r="N12" s="126"/>
      <c r="O12" s="97"/>
      <c r="P12" s="98"/>
      <c r="R12" s="137"/>
      <c r="S12" s="138">
        <v>0</v>
      </c>
    </row>
    <row r="13" spans="1:27" ht="13.5" thickBot="1" x14ac:dyDescent="0.35">
      <c r="B13" s="255" t="s">
        <v>61</v>
      </c>
      <c r="C13" s="256"/>
      <c r="D13" s="256"/>
      <c r="E13" s="256"/>
      <c r="F13" s="257"/>
      <c r="L13" s="139" t="s">
        <v>162</v>
      </c>
      <c r="M13" s="140">
        <f>M10</f>
        <v>526.4</v>
      </c>
      <c r="N13" s="126"/>
      <c r="O13" s="113"/>
      <c r="P13" s="98"/>
      <c r="R13" s="137"/>
      <c r="S13" s="138">
        <v>0</v>
      </c>
      <c r="U13" s="83" t="s">
        <v>31</v>
      </c>
      <c r="V13" s="83" t="s">
        <v>29</v>
      </c>
      <c r="W13" s="83" t="s">
        <v>32</v>
      </c>
      <c r="X13" s="83" t="s">
        <v>30</v>
      </c>
      <c r="Y13" s="83" t="s">
        <v>0</v>
      </c>
      <c r="Z13" s="127" t="s">
        <v>38</v>
      </c>
      <c r="AA13" s="127" t="s">
        <v>0</v>
      </c>
    </row>
    <row r="14" spans="1:27" ht="15.75" customHeight="1" thickBot="1" x14ac:dyDescent="0.35">
      <c r="B14" s="103" t="s">
        <v>62</v>
      </c>
      <c r="C14" s="271" t="s">
        <v>70</v>
      </c>
      <c r="D14" s="272"/>
      <c r="E14" s="103" t="s">
        <v>67</v>
      </c>
      <c r="F14" s="104" t="s">
        <v>4</v>
      </c>
      <c r="L14" s="141" t="s">
        <v>160</v>
      </c>
      <c r="M14" s="142">
        <v>22</v>
      </c>
      <c r="N14" s="143"/>
      <c r="O14" s="144" t="s">
        <v>0</v>
      </c>
      <c r="P14" s="145">
        <f>SUM(P3:P4:P5)+S25</f>
        <v>127.77777777777777</v>
      </c>
      <c r="R14" s="137"/>
      <c r="S14" s="138">
        <v>0</v>
      </c>
      <c r="U14" s="88"/>
      <c r="V14" s="88"/>
      <c r="W14" s="88"/>
      <c r="X14" s="88"/>
      <c r="Y14" s="88"/>
      <c r="Z14" s="134"/>
      <c r="AA14" s="134"/>
    </row>
    <row r="15" spans="1:27" ht="13.5" thickBot="1" x14ac:dyDescent="0.35">
      <c r="B15" s="146" t="s">
        <v>61</v>
      </c>
      <c r="C15" s="147">
        <f>H51</f>
        <v>37.447265625</v>
      </c>
      <c r="D15" s="148" t="s">
        <v>69</v>
      </c>
      <c r="E15" s="149">
        <f>IF(C15&lt;=100,C40,IF(AND(C15&gt;100,C15&lt;=200),C41,IF(AND(C15&gt;200,C15&lt;=300),C42,IF(AND(C15&gt;300,C15&lt;=400),C43,IF(AND(C15&gt;400,C15&lt;=500),C44,IF(AND(C15&gt;500,C15&lt;=1000),C45,IF(AND(C15&gt;1000,C15&lt;=2000),C46,IF(AND(C15&gt;2000,C15&lt;=10000),C47,IF(C15&gt;10000,C48)))))))))</f>
        <v>1.8</v>
      </c>
      <c r="F15" s="121">
        <f>C15*E15</f>
        <v>67.405078125000003</v>
      </c>
      <c r="L15" s="150" t="s">
        <v>161</v>
      </c>
      <c r="M15" s="151">
        <f>+(M13/22)*M14</f>
        <v>526.4</v>
      </c>
      <c r="N15" s="89"/>
      <c r="R15" s="137"/>
      <c r="S15" s="138">
        <v>0</v>
      </c>
    </row>
    <row r="16" spans="1:27" ht="15" thickBot="1" x14ac:dyDescent="0.4">
      <c r="B16" s="115"/>
      <c r="C16" s="115"/>
      <c r="D16" s="116"/>
      <c r="E16" s="117"/>
      <c r="F16" s="152"/>
      <c r="L16" s="153" t="s">
        <v>163</v>
      </c>
      <c r="M16" s="154">
        <v>0</v>
      </c>
      <c r="O16" s="264" t="s">
        <v>11</v>
      </c>
      <c r="P16" s="265"/>
      <c r="R16" s="137"/>
      <c r="S16" s="138">
        <v>0</v>
      </c>
      <c r="U16" s="83" t="s">
        <v>33</v>
      </c>
      <c r="V16" s="83" t="s">
        <v>29</v>
      </c>
      <c r="W16" s="155" t="s">
        <v>34</v>
      </c>
      <c r="X16" s="83" t="s">
        <v>36</v>
      </c>
      <c r="Y16" s="127" t="s">
        <v>35</v>
      </c>
      <c r="Z16" s="127" t="s">
        <v>38</v>
      </c>
      <c r="AA16" s="127" t="s">
        <v>0</v>
      </c>
    </row>
    <row r="17" spans="2:27" x14ac:dyDescent="0.3">
      <c r="B17" s="119"/>
      <c r="C17" s="119"/>
      <c r="D17" s="119"/>
      <c r="E17" s="120" t="s">
        <v>2</v>
      </c>
      <c r="F17" s="121">
        <f>SUM(F15:F16)</f>
        <v>67.405078125000003</v>
      </c>
      <c r="L17" s="156" t="s">
        <v>160</v>
      </c>
      <c r="M17" s="157">
        <v>0</v>
      </c>
      <c r="N17" s="99"/>
      <c r="O17" s="158" t="s">
        <v>12</v>
      </c>
      <c r="P17" s="159">
        <v>0.13</v>
      </c>
      <c r="R17" s="137"/>
      <c r="S17" s="138">
        <v>0</v>
      </c>
      <c r="U17" s="88"/>
      <c r="V17" s="160"/>
      <c r="W17" s="160"/>
      <c r="X17" s="160"/>
      <c r="Y17" s="160"/>
      <c r="Z17" s="161"/>
      <c r="AA17" s="134">
        <f>Y17*Z17</f>
        <v>0</v>
      </c>
    </row>
    <row r="18" spans="2:27" ht="13.5" thickBot="1" x14ac:dyDescent="0.35">
      <c r="B18" s="119"/>
      <c r="C18" s="119"/>
      <c r="D18" s="119"/>
      <c r="E18" s="120" t="s">
        <v>1</v>
      </c>
      <c r="F18" s="122">
        <f>F17*G18</f>
        <v>8.0886093750000008</v>
      </c>
      <c r="G18" s="123">
        <v>0.12</v>
      </c>
      <c r="L18" s="162" t="s">
        <v>161</v>
      </c>
      <c r="M18" s="163">
        <f>+(M16/22)*M17</f>
        <v>0</v>
      </c>
      <c r="O18" s="164" t="s">
        <v>13</v>
      </c>
      <c r="P18" s="165">
        <f>(M34+(M34*P27))*P17</f>
        <v>226.68299160000001</v>
      </c>
      <c r="R18" s="166"/>
      <c r="S18" s="167">
        <v>0</v>
      </c>
    </row>
    <row r="19" spans="2:27" ht="13.5" thickBot="1" x14ac:dyDescent="0.35">
      <c r="B19" s="128"/>
      <c r="C19" s="119"/>
      <c r="D19" s="119"/>
      <c r="E19" s="129" t="s">
        <v>0</v>
      </c>
      <c r="F19" s="130">
        <f>SUM(F17:F18)</f>
        <v>75.493687500000007</v>
      </c>
      <c r="L19" s="168" t="s">
        <v>164</v>
      </c>
      <c r="M19" s="169">
        <v>0</v>
      </c>
      <c r="U19" s="83" t="s">
        <v>33</v>
      </c>
      <c r="V19" s="83" t="s">
        <v>29</v>
      </c>
      <c r="W19" s="155" t="s">
        <v>34</v>
      </c>
      <c r="X19" s="83" t="s">
        <v>36</v>
      </c>
      <c r="Y19" s="127" t="s">
        <v>35</v>
      </c>
      <c r="Z19" s="127" t="s">
        <v>38</v>
      </c>
      <c r="AA19" s="127" t="s">
        <v>0</v>
      </c>
    </row>
    <row r="20" spans="2:27" x14ac:dyDescent="0.3">
      <c r="B20" s="170"/>
      <c r="C20" s="170"/>
      <c r="D20" s="170"/>
      <c r="E20" s="171"/>
      <c r="F20" s="172"/>
      <c r="L20" s="173" t="s">
        <v>160</v>
      </c>
      <c r="M20" s="174">
        <v>0</v>
      </c>
      <c r="U20" s="88"/>
      <c r="V20" s="160"/>
      <c r="W20" s="160"/>
      <c r="X20" s="160"/>
      <c r="Y20" s="160"/>
      <c r="Z20" s="161"/>
      <c r="AA20" s="134">
        <f>Y20*Z20</f>
        <v>0</v>
      </c>
    </row>
    <row r="21" spans="2:27" ht="13.5" thickBot="1" x14ac:dyDescent="0.35">
      <c r="B21" s="170"/>
      <c r="C21" s="170"/>
      <c r="D21" s="170"/>
      <c r="E21" s="171"/>
      <c r="F21" s="172"/>
      <c r="L21" s="175" t="s">
        <v>161</v>
      </c>
      <c r="M21" s="176">
        <f>+(M19/22)*M20</f>
        <v>0</v>
      </c>
    </row>
    <row r="22" spans="2:27" ht="13.5" thickBot="1" x14ac:dyDescent="0.35">
      <c r="B22" s="268"/>
      <c r="C22" s="268"/>
      <c r="D22" s="268"/>
      <c r="E22" s="268"/>
      <c r="F22" s="268"/>
      <c r="L22" s="144" t="s">
        <v>0</v>
      </c>
      <c r="M22" s="177">
        <f>+M18+M21+M15+M12</f>
        <v>1052.8</v>
      </c>
    </row>
    <row r="23" spans="2:27" ht="15" thickBot="1" x14ac:dyDescent="0.4">
      <c r="B23" s="178" t="s">
        <v>72</v>
      </c>
      <c r="C23" s="179"/>
      <c r="D23" s="179"/>
      <c r="E23" s="179"/>
      <c r="F23" s="179"/>
    </row>
    <row r="24" spans="2:27" ht="13.5" thickBot="1" x14ac:dyDescent="0.35"/>
    <row r="25" spans="2:27" ht="15" thickBot="1" x14ac:dyDescent="0.4">
      <c r="B25" s="180" t="s">
        <v>62</v>
      </c>
      <c r="C25" s="181" t="s">
        <v>89</v>
      </c>
      <c r="D25" s="181" t="s">
        <v>74</v>
      </c>
      <c r="E25" s="182" t="s">
        <v>93</v>
      </c>
      <c r="F25" s="183" t="s">
        <v>75</v>
      </c>
      <c r="G25" s="182" t="s">
        <v>84</v>
      </c>
      <c r="H25" s="181" t="s">
        <v>73</v>
      </c>
      <c r="L25" s="264" t="s">
        <v>128</v>
      </c>
      <c r="M25" s="265"/>
      <c r="O25" s="184" t="s">
        <v>5</v>
      </c>
      <c r="P25" s="185">
        <f>C7</f>
        <v>2000</v>
      </c>
      <c r="R25" s="144" t="s">
        <v>0</v>
      </c>
      <c r="S25" s="186">
        <f>SUM(S11:S18)</f>
        <v>0</v>
      </c>
    </row>
    <row r="26" spans="2:27" ht="13.5" thickBot="1" x14ac:dyDescent="0.35">
      <c r="B26" s="187" t="s">
        <v>90</v>
      </c>
      <c r="C26" s="187" t="s">
        <v>86</v>
      </c>
      <c r="D26" s="187" t="s">
        <v>76</v>
      </c>
      <c r="E26" s="188">
        <v>14.7</v>
      </c>
      <c r="F26" s="189" t="s">
        <v>79</v>
      </c>
      <c r="G26" s="190" t="s">
        <v>80</v>
      </c>
      <c r="H26" s="187" t="s">
        <v>82</v>
      </c>
      <c r="L26" s="92" t="s">
        <v>130</v>
      </c>
      <c r="M26" s="191">
        <f>N55</f>
        <v>0</v>
      </c>
      <c r="O26" s="192"/>
    </row>
    <row r="27" spans="2:27" ht="13.5" thickBot="1" x14ac:dyDescent="0.35">
      <c r="B27" s="187" t="s">
        <v>90</v>
      </c>
      <c r="C27" s="187" t="s">
        <v>87</v>
      </c>
      <c r="D27" s="187" t="s">
        <v>76</v>
      </c>
      <c r="E27" s="188">
        <v>7.4</v>
      </c>
      <c r="F27" s="189" t="s">
        <v>79</v>
      </c>
      <c r="G27" s="190" t="s">
        <v>80</v>
      </c>
      <c r="H27" s="187" t="s">
        <v>82</v>
      </c>
      <c r="L27" s="137" t="s">
        <v>150</v>
      </c>
      <c r="M27" s="193">
        <f>N74*C7</f>
        <v>111.06319999999999</v>
      </c>
      <c r="O27" s="184" t="s">
        <v>15</v>
      </c>
      <c r="P27" s="194">
        <v>0.35</v>
      </c>
    </row>
    <row r="28" spans="2:27" ht="13.5" thickBot="1" x14ac:dyDescent="0.35">
      <c r="B28" s="187" t="s">
        <v>90</v>
      </c>
      <c r="C28" s="187" t="s">
        <v>88</v>
      </c>
      <c r="D28" s="187" t="s">
        <v>77</v>
      </c>
      <c r="E28" s="188">
        <v>8.3000000000000007</v>
      </c>
      <c r="F28" s="189" t="s">
        <v>79</v>
      </c>
      <c r="G28" s="190" t="s">
        <v>80</v>
      </c>
      <c r="H28" s="187" t="s">
        <v>82</v>
      </c>
      <c r="L28" s="166"/>
      <c r="M28" s="195"/>
    </row>
    <row r="29" spans="2:27" ht="13.5" thickBot="1" x14ac:dyDescent="0.35">
      <c r="B29" s="187" t="s">
        <v>90</v>
      </c>
      <c r="C29" s="187" t="s">
        <v>94</v>
      </c>
      <c r="D29" s="187" t="s">
        <v>77</v>
      </c>
      <c r="E29" s="188">
        <v>11.8</v>
      </c>
      <c r="F29" s="189" t="s">
        <v>79</v>
      </c>
      <c r="G29" s="190" t="s">
        <v>80</v>
      </c>
      <c r="H29" s="187" t="s">
        <v>82</v>
      </c>
      <c r="L29" s="144" t="s">
        <v>0</v>
      </c>
      <c r="M29" s="177">
        <f>SUM(M26:M28)</f>
        <v>111.06319999999999</v>
      </c>
    </row>
    <row r="30" spans="2:27" ht="13.5" thickBot="1" x14ac:dyDescent="0.35">
      <c r="B30" s="187" t="s">
        <v>91</v>
      </c>
      <c r="C30" s="187" t="s">
        <v>95</v>
      </c>
      <c r="D30" s="187" t="s">
        <v>76</v>
      </c>
      <c r="E30" s="188">
        <v>44</v>
      </c>
      <c r="F30" s="189" t="s">
        <v>78</v>
      </c>
      <c r="G30" s="190" t="s">
        <v>81</v>
      </c>
      <c r="H30" s="187" t="s">
        <v>83</v>
      </c>
    </row>
    <row r="31" spans="2:27" ht="15" thickBot="1" x14ac:dyDescent="0.4">
      <c r="B31" s="187" t="s">
        <v>91</v>
      </c>
      <c r="C31" s="187" t="s">
        <v>96</v>
      </c>
      <c r="D31" s="187" t="s">
        <v>76</v>
      </c>
      <c r="E31" s="188">
        <v>22</v>
      </c>
      <c r="F31" s="189" t="s">
        <v>78</v>
      </c>
      <c r="G31" s="190" t="s">
        <v>81</v>
      </c>
      <c r="H31" s="187" t="s">
        <v>83</v>
      </c>
      <c r="L31" s="264" t="s">
        <v>152</v>
      </c>
      <c r="M31" s="265"/>
    </row>
    <row r="32" spans="2:27" x14ac:dyDescent="0.3">
      <c r="B32" s="187" t="s">
        <v>91</v>
      </c>
      <c r="C32" s="187" t="s">
        <v>97</v>
      </c>
      <c r="D32" s="187" t="s">
        <v>77</v>
      </c>
      <c r="E32" s="188">
        <v>24.9</v>
      </c>
      <c r="F32" s="189" t="s">
        <v>78</v>
      </c>
      <c r="G32" s="190" t="s">
        <v>81</v>
      </c>
      <c r="H32" s="187" t="s">
        <v>83</v>
      </c>
      <c r="L32" s="196" t="s">
        <v>153</v>
      </c>
      <c r="M32" s="197">
        <f>SUM(M29+M22)</f>
        <v>1163.8632</v>
      </c>
    </row>
    <row r="33" spans="2:18" ht="13.5" thickBot="1" x14ac:dyDescent="0.35">
      <c r="B33" s="187" t="s">
        <v>91</v>
      </c>
      <c r="C33" s="187" t="s">
        <v>98</v>
      </c>
      <c r="D33" s="187" t="s">
        <v>77</v>
      </c>
      <c r="E33" s="188">
        <v>28.1</v>
      </c>
      <c r="F33" s="189" t="s">
        <v>78</v>
      </c>
      <c r="G33" s="190" t="s">
        <v>81</v>
      </c>
      <c r="H33" s="187" t="s">
        <v>83</v>
      </c>
      <c r="L33" s="198" t="str">
        <f>O2</f>
        <v>Recursos Varios</v>
      </c>
      <c r="M33" s="199">
        <f>P14</f>
        <v>127.77777777777777</v>
      </c>
      <c r="P33" s="200"/>
    </row>
    <row r="34" spans="2:18" ht="13.5" thickBot="1" x14ac:dyDescent="0.35">
      <c r="B34" s="201"/>
      <c r="L34" s="144" t="s">
        <v>0</v>
      </c>
      <c r="M34" s="202">
        <f>SUM(M32:M33)</f>
        <v>1291.6409777777778</v>
      </c>
      <c r="P34" s="89">
        <f>+M34</f>
        <v>1291.6409777777778</v>
      </c>
    </row>
    <row r="35" spans="2:18" ht="13.5" thickBot="1" x14ac:dyDescent="0.35">
      <c r="P35" s="203">
        <f>+P18</f>
        <v>226.68299160000001</v>
      </c>
    </row>
    <row r="36" spans="2:18" ht="15" thickBot="1" x14ac:dyDescent="0.4">
      <c r="G36" s="204" t="s">
        <v>92</v>
      </c>
      <c r="H36" s="205">
        <f>C7</f>
        <v>2000</v>
      </c>
      <c r="L36" s="266" t="s">
        <v>165</v>
      </c>
      <c r="M36" s="267"/>
      <c r="P36" s="89">
        <f>+M38</f>
        <v>452.07434222222219</v>
      </c>
      <c r="R36" s="89"/>
    </row>
    <row r="37" spans="2:18" x14ac:dyDescent="0.3">
      <c r="G37" s="206" t="s">
        <v>89</v>
      </c>
      <c r="H37" s="207" t="s">
        <v>88</v>
      </c>
      <c r="L37" s="208" t="str">
        <f>L31</f>
        <v>Total Costo Operativo</v>
      </c>
      <c r="M37" s="197">
        <f>M34</f>
        <v>1291.6409777777778</v>
      </c>
      <c r="N37" s="209"/>
      <c r="P37" s="200">
        <f>+P34+P35+P36</f>
        <v>1970.3983115999999</v>
      </c>
    </row>
    <row r="38" spans="2:18" ht="13.5" thickBot="1" x14ac:dyDescent="0.35">
      <c r="G38" s="206" t="s">
        <v>74</v>
      </c>
      <c r="H38" s="207" t="s">
        <v>77</v>
      </c>
      <c r="L38" s="198" t="s">
        <v>14</v>
      </c>
      <c r="M38" s="210">
        <f>M37*P27</f>
        <v>452.07434222222219</v>
      </c>
    </row>
    <row r="39" spans="2:18" x14ac:dyDescent="0.3">
      <c r="B39" s="211" t="s">
        <v>115</v>
      </c>
      <c r="C39" s="211" t="s">
        <v>119</v>
      </c>
      <c r="G39" s="206" t="s">
        <v>73</v>
      </c>
      <c r="H39" s="207" t="s">
        <v>82</v>
      </c>
    </row>
    <row r="40" spans="2:18" ht="15" thickBot="1" x14ac:dyDescent="0.4">
      <c r="B40" s="190" t="s">
        <v>109</v>
      </c>
      <c r="C40" s="245">
        <v>1.8</v>
      </c>
      <c r="G40" s="212" t="s">
        <v>85</v>
      </c>
      <c r="H40" s="213">
        <f>(IF(AND(H37=C26,H38="200 Dpi",H39="B/N"),E26,IF(AND(H37=C27,H38="200 Dpi",H39="B/N"),E27,IF(AND(H37=C28,H38="300 Dpi",H39="B/N"),E28,IF(AND(H37=C29,H38="300 Dpi",H39="B/N"),E29,IF(AND(H37=C30,H38="200 Dpi",H39="Color"),E30,IF(AND(H37=C31,H38="200 Dpi",H39="Color"),E31,IF(AND(H37=C32,H38="300 Dpi",H39="Color"),E32,IF(AND(H37=C33,H38="300 Dpi",H39="Color"),E33,"INCORRECTO")))))))))</f>
        <v>8.3000000000000007</v>
      </c>
    </row>
    <row r="41" spans="2:18" ht="13.5" thickBot="1" x14ac:dyDescent="0.35">
      <c r="B41" s="190" t="s">
        <v>110</v>
      </c>
      <c r="C41" s="245">
        <v>1.6</v>
      </c>
      <c r="L41" s="214" t="s">
        <v>16</v>
      </c>
      <c r="M41" s="215">
        <f>(M37+P18)/P25</f>
        <v>0.75916198468888885</v>
      </c>
    </row>
    <row r="42" spans="2:18" ht="13.5" thickBot="1" x14ac:dyDescent="0.35">
      <c r="B42" s="190" t="s">
        <v>111</v>
      </c>
      <c r="C42" s="245">
        <v>1.4</v>
      </c>
      <c r="G42" s="88" t="s">
        <v>100</v>
      </c>
      <c r="H42" s="216">
        <f>H36*H40</f>
        <v>16600</v>
      </c>
      <c r="I42" s="217" t="s">
        <v>99</v>
      </c>
      <c r="L42" s="214" t="s">
        <v>17</v>
      </c>
      <c r="M42" s="215">
        <f>(M37+M38+P18)/P25</f>
        <v>0.98519915579999995</v>
      </c>
    </row>
    <row r="43" spans="2:18" ht="13.5" thickBot="1" x14ac:dyDescent="0.35">
      <c r="B43" s="190" t="s">
        <v>112</v>
      </c>
      <c r="C43" s="245">
        <v>1.2</v>
      </c>
      <c r="G43" s="88" t="s">
        <v>101</v>
      </c>
      <c r="H43" s="216">
        <v>1024</v>
      </c>
      <c r="I43" s="217" t="s">
        <v>99</v>
      </c>
    </row>
    <row r="44" spans="2:18" ht="13.5" thickBot="1" x14ac:dyDescent="0.35">
      <c r="B44" s="190" t="s">
        <v>113</v>
      </c>
      <c r="C44" s="245">
        <v>1</v>
      </c>
      <c r="G44" s="88" t="s">
        <v>102</v>
      </c>
      <c r="H44" s="218">
        <v>0.05</v>
      </c>
      <c r="I44" s="217"/>
      <c r="K44" s="255" t="s">
        <v>129</v>
      </c>
      <c r="L44" s="256"/>
      <c r="M44" s="256"/>
      <c r="N44" s="257"/>
    </row>
    <row r="45" spans="2:18" ht="13.5" thickBot="1" x14ac:dyDescent="0.35">
      <c r="B45" s="190" t="s">
        <v>114</v>
      </c>
      <c r="C45" s="245">
        <v>0.8</v>
      </c>
      <c r="K45" s="219" t="s">
        <v>52</v>
      </c>
      <c r="L45" s="219" t="s">
        <v>62</v>
      </c>
      <c r="M45" s="219" t="s">
        <v>67</v>
      </c>
      <c r="N45" s="219" t="s">
        <v>0</v>
      </c>
    </row>
    <row r="46" spans="2:18" ht="14.5" x14ac:dyDescent="0.3">
      <c r="B46" s="190" t="s">
        <v>116</v>
      </c>
      <c r="C46" s="245">
        <v>0.6</v>
      </c>
      <c r="G46" s="88" t="s">
        <v>103</v>
      </c>
      <c r="H46" s="216">
        <f>(H42*H44)+H42</f>
        <v>17430</v>
      </c>
      <c r="I46" s="217" t="s">
        <v>99</v>
      </c>
      <c r="K46" s="258">
        <v>0</v>
      </c>
      <c r="L46" s="220" t="s">
        <v>120</v>
      </c>
      <c r="M46" s="261">
        <v>22000</v>
      </c>
      <c r="N46" s="261">
        <f>M46*K46</f>
        <v>0</v>
      </c>
    </row>
    <row r="47" spans="2:18" ht="14.5" x14ac:dyDescent="0.3">
      <c r="B47" s="190" t="s">
        <v>118</v>
      </c>
      <c r="C47" s="245">
        <v>0.5</v>
      </c>
      <c r="G47" s="88" t="s">
        <v>104</v>
      </c>
      <c r="H47" s="221">
        <f>H46/H43</f>
        <v>17.021484375</v>
      </c>
      <c r="I47" s="217" t="s">
        <v>106</v>
      </c>
      <c r="K47" s="259"/>
      <c r="L47" s="222" t="s">
        <v>121</v>
      </c>
      <c r="M47" s="262"/>
      <c r="N47" s="262"/>
    </row>
    <row r="48" spans="2:18" ht="14.5" x14ac:dyDescent="0.3">
      <c r="B48" s="190" t="s">
        <v>117</v>
      </c>
      <c r="C48" s="245">
        <v>0.35</v>
      </c>
      <c r="G48" s="88" t="s">
        <v>105</v>
      </c>
      <c r="H48" s="216">
        <f>H46*I48</f>
        <v>1743</v>
      </c>
      <c r="I48" s="223">
        <v>0.1</v>
      </c>
      <c r="K48" s="259"/>
      <c r="L48" s="222" t="s">
        <v>122</v>
      </c>
      <c r="M48" s="262"/>
      <c r="N48" s="262"/>
    </row>
    <row r="49" spans="7:14" ht="14.5" x14ac:dyDescent="0.3">
      <c r="G49" s="88" t="s">
        <v>107</v>
      </c>
      <c r="H49" s="224">
        <f>H48*12</f>
        <v>20916</v>
      </c>
      <c r="I49" s="217" t="s">
        <v>99</v>
      </c>
      <c r="K49" s="259"/>
      <c r="L49" s="222" t="s">
        <v>123</v>
      </c>
      <c r="M49" s="262"/>
      <c r="N49" s="262"/>
    </row>
    <row r="50" spans="7:14" ht="14.5" x14ac:dyDescent="0.3">
      <c r="K50" s="259"/>
      <c r="L50" s="222" t="s">
        <v>124</v>
      </c>
      <c r="M50" s="262"/>
      <c r="N50" s="262"/>
    </row>
    <row r="51" spans="7:14" ht="15" thickBot="1" x14ac:dyDescent="0.4">
      <c r="G51" s="225" t="s">
        <v>108</v>
      </c>
      <c r="H51" s="226">
        <f>(H46+H49)/H43</f>
        <v>37.447265625</v>
      </c>
      <c r="I51" s="227" t="s">
        <v>106</v>
      </c>
      <c r="K51" s="260"/>
      <c r="L51" s="228" t="s">
        <v>125</v>
      </c>
      <c r="M51" s="263"/>
      <c r="N51" s="263"/>
    </row>
    <row r="52" spans="7:14" ht="13.5" thickBot="1" x14ac:dyDescent="0.35">
      <c r="K52" s="229">
        <v>0</v>
      </c>
      <c r="L52" s="230" t="s">
        <v>126</v>
      </c>
      <c r="M52" s="231">
        <v>5000</v>
      </c>
      <c r="N52" s="231">
        <f>M52*K52</f>
        <v>0</v>
      </c>
    </row>
    <row r="53" spans="7:14" ht="13.5" thickBot="1" x14ac:dyDescent="0.35">
      <c r="K53" s="229">
        <v>0</v>
      </c>
      <c r="L53" s="230" t="s">
        <v>127</v>
      </c>
      <c r="M53" s="231">
        <v>9900</v>
      </c>
      <c r="N53" s="231">
        <f>M53*K53</f>
        <v>0</v>
      </c>
    </row>
    <row r="54" spans="7:14" ht="13.5" thickBot="1" x14ac:dyDescent="0.35"/>
    <row r="55" spans="7:14" ht="13.5" thickBot="1" x14ac:dyDescent="0.35">
      <c r="M55" s="103" t="s">
        <v>0</v>
      </c>
      <c r="N55" s="231">
        <f>SUM(N46:N53)</f>
        <v>0</v>
      </c>
    </row>
    <row r="57" spans="7:14" ht="13.5" thickBot="1" x14ac:dyDescent="0.35"/>
    <row r="58" spans="7:14" ht="14.5" x14ac:dyDescent="0.35">
      <c r="K58" s="246" t="s">
        <v>131</v>
      </c>
      <c r="L58" s="247"/>
      <c r="M58" s="247"/>
      <c r="N58" s="248"/>
    </row>
    <row r="59" spans="7:14" ht="14.5" x14ac:dyDescent="0.35">
      <c r="K59" s="249" t="s">
        <v>132</v>
      </c>
      <c r="L59" s="250"/>
      <c r="M59" s="250"/>
      <c r="N59" s="251"/>
    </row>
    <row r="60" spans="7:14" ht="15" thickBot="1" x14ac:dyDescent="0.4">
      <c r="K60" s="252" t="s">
        <v>154</v>
      </c>
      <c r="L60" s="253"/>
      <c r="M60" s="253"/>
      <c r="N60" s="254"/>
    </row>
    <row r="61" spans="7:14" ht="13.5" thickBot="1" x14ac:dyDescent="0.35">
      <c r="K61" s="219" t="s">
        <v>52</v>
      </c>
      <c r="L61" s="219" t="s">
        <v>133</v>
      </c>
      <c r="M61" s="219" t="s">
        <v>134</v>
      </c>
      <c r="N61" s="219" t="s">
        <v>135</v>
      </c>
    </row>
    <row r="62" spans="7:14" x14ac:dyDescent="0.3">
      <c r="K62" s="232">
        <v>0</v>
      </c>
      <c r="L62" s="233" t="s">
        <v>136</v>
      </c>
      <c r="M62" s="234" t="s">
        <v>137</v>
      </c>
      <c r="N62" s="235">
        <v>0</v>
      </c>
    </row>
    <row r="63" spans="7:14" x14ac:dyDescent="0.3">
      <c r="K63" s="232">
        <v>1</v>
      </c>
      <c r="L63" s="236" t="s">
        <v>138</v>
      </c>
      <c r="M63" s="232" t="s">
        <v>139</v>
      </c>
      <c r="N63" s="237">
        <v>859.68</v>
      </c>
    </row>
    <row r="64" spans="7:14" x14ac:dyDescent="0.3">
      <c r="K64" s="232">
        <v>1</v>
      </c>
      <c r="L64" s="236" t="s">
        <v>140</v>
      </c>
      <c r="M64" s="232" t="s">
        <v>141</v>
      </c>
      <c r="N64" s="237">
        <v>3253</v>
      </c>
    </row>
    <row r="65" spans="11:14" x14ac:dyDescent="0.3">
      <c r="K65" s="232">
        <v>0</v>
      </c>
      <c r="L65" s="236" t="s">
        <v>142</v>
      </c>
      <c r="M65" s="232" t="s">
        <v>143</v>
      </c>
      <c r="N65" s="237">
        <v>0</v>
      </c>
    </row>
    <row r="66" spans="11:14" x14ac:dyDescent="0.3">
      <c r="K66" s="232">
        <v>1</v>
      </c>
      <c r="L66" s="236" t="s">
        <v>144</v>
      </c>
      <c r="M66" s="232" t="s">
        <v>145</v>
      </c>
      <c r="N66" s="237">
        <v>520.48</v>
      </c>
    </row>
    <row r="67" spans="11:14" x14ac:dyDescent="0.3">
      <c r="K67" s="232">
        <v>1</v>
      </c>
      <c r="L67" s="236" t="s">
        <v>146</v>
      </c>
      <c r="M67" s="232" t="s">
        <v>147</v>
      </c>
      <c r="N67" s="237">
        <v>920</v>
      </c>
    </row>
    <row r="68" spans="11:14" ht="13.5" thickBot="1" x14ac:dyDescent="0.35">
      <c r="K68" s="238">
        <v>0</v>
      </c>
      <c r="L68" s="239" t="s">
        <v>148</v>
      </c>
      <c r="M68" s="238" t="s">
        <v>149</v>
      </c>
      <c r="N68" s="240">
        <v>0</v>
      </c>
    </row>
    <row r="69" spans="11:14" ht="13.5" thickBot="1" x14ac:dyDescent="0.35"/>
    <row r="70" spans="11:14" ht="15" thickBot="1" x14ac:dyDescent="0.35">
      <c r="M70" s="241" t="s">
        <v>0</v>
      </c>
      <c r="N70" s="231">
        <f>SUM(N62:N69)</f>
        <v>5553.16</v>
      </c>
    </row>
    <row r="71" spans="11:14" ht="13.5" thickBot="1" x14ac:dyDescent="0.35"/>
    <row r="72" spans="11:14" ht="15" thickBot="1" x14ac:dyDescent="0.35">
      <c r="M72" s="241" t="s">
        <v>155</v>
      </c>
      <c r="N72" s="242">
        <v>100000</v>
      </c>
    </row>
    <row r="73" spans="11:14" ht="13.5" thickBot="1" x14ac:dyDescent="0.35"/>
    <row r="74" spans="11:14" ht="15" thickBot="1" x14ac:dyDescent="0.35">
      <c r="M74" s="243" t="s">
        <v>156</v>
      </c>
      <c r="N74" s="244">
        <f>N70/N72</f>
        <v>5.55316E-2</v>
      </c>
    </row>
  </sheetData>
  <mergeCells count="20">
    <mergeCell ref="L2:M2"/>
    <mergeCell ref="O2:P2"/>
    <mergeCell ref="B5:F5"/>
    <mergeCell ref="L9:M9"/>
    <mergeCell ref="L25:M25"/>
    <mergeCell ref="C6:D6"/>
    <mergeCell ref="C14:D14"/>
    <mergeCell ref="R10:S10"/>
    <mergeCell ref="L31:M31"/>
    <mergeCell ref="O16:P16"/>
    <mergeCell ref="B13:F13"/>
    <mergeCell ref="L36:M36"/>
    <mergeCell ref="B22:F22"/>
    <mergeCell ref="K58:N58"/>
    <mergeCell ref="K59:N59"/>
    <mergeCell ref="K60:N60"/>
    <mergeCell ref="K44:N44"/>
    <mergeCell ref="K46:K51"/>
    <mergeCell ref="M46:M51"/>
    <mergeCell ref="N46:N51"/>
  </mergeCells>
  <conditionalFormatting sqref="H40">
    <cfRule type="containsText" dxfId="0" priority="1" operator="containsText" text="INCORRECTO">
      <formula>NOT(ISERROR(SEARCH("INCORRECTO",H40)))</formula>
    </cfRule>
  </conditionalFormatting>
  <dataValidations count="3">
    <dataValidation type="list" allowBlank="1" showInputMessage="1" showErrorMessage="1" sqref="H37" xr:uid="{56AC63C3-83E3-4149-B6D9-2FE2324C2B68}">
      <formula1>$C$26:$C$33</formula1>
    </dataValidation>
    <dataValidation type="list" allowBlank="1" showInputMessage="1" showErrorMessage="1" sqref="H39" xr:uid="{A651ECD1-AB25-401E-8504-783C465EA89E}">
      <formula1>$H$29:$H$30</formula1>
    </dataValidation>
    <dataValidation type="list" allowBlank="1" showInputMessage="1" showErrorMessage="1" sqref="H38" xr:uid="{48B44DCC-E96A-4C39-AF9B-B173EFF1F632}">
      <formula1>$D$31:$D$32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R30"/>
  <sheetViews>
    <sheetView workbookViewId="0">
      <selection activeCell="D4" sqref="D4"/>
    </sheetView>
  </sheetViews>
  <sheetFormatPr baseColWidth="10" defaultRowHeight="14.5" x14ac:dyDescent="0.35"/>
  <cols>
    <col min="14" max="14" width="12.54296875" customWidth="1"/>
    <col min="15" max="15" width="13.1796875" customWidth="1"/>
    <col min="17" max="17" width="12.54296875" bestFit="1" customWidth="1"/>
    <col min="19" max="19" width="14.81640625" customWidth="1"/>
    <col min="20" max="20" width="13" customWidth="1"/>
    <col min="21" max="21" width="18.54296875" customWidth="1"/>
    <col min="22" max="22" width="18.7265625" customWidth="1"/>
  </cols>
  <sheetData>
    <row r="2" spans="3:18" ht="24" thickBot="1" x14ac:dyDescent="0.6">
      <c r="C2" s="273" t="s">
        <v>40</v>
      </c>
      <c r="D2" s="274"/>
      <c r="E2" s="274"/>
      <c r="F2" s="274"/>
      <c r="G2" s="275"/>
    </row>
    <row r="3" spans="3:18" ht="44" thickBot="1" x14ac:dyDescent="0.4">
      <c r="C3" s="8" t="s">
        <v>41</v>
      </c>
      <c r="D3" s="9" t="s">
        <v>42</v>
      </c>
      <c r="E3" s="8" t="s">
        <v>43</v>
      </c>
      <c r="F3" s="8" t="s">
        <v>44</v>
      </c>
      <c r="G3" s="10" t="s">
        <v>45</v>
      </c>
      <c r="J3" s="11" t="s">
        <v>46</v>
      </c>
      <c r="K3" s="11" t="s">
        <v>47</v>
      </c>
      <c r="M3" s="276" t="s">
        <v>40</v>
      </c>
      <c r="N3" s="277"/>
      <c r="O3" s="277"/>
      <c r="P3" s="277"/>
      <c r="Q3" s="278"/>
    </row>
    <row r="4" spans="3:18" ht="29.5" thickBot="1" x14ac:dyDescent="0.4">
      <c r="C4" s="12">
        <v>1</v>
      </c>
      <c r="D4" s="12">
        <v>5</v>
      </c>
      <c r="E4" s="13">
        <f>+(23.1818181818182)/8</f>
        <v>2.8977272727272751</v>
      </c>
      <c r="F4" s="13">
        <f>E4*D4</f>
        <v>14.488636363636376</v>
      </c>
      <c r="G4" s="13">
        <f>+F4*2</f>
        <v>28.977272727272751</v>
      </c>
      <c r="H4" s="14"/>
      <c r="J4" s="15">
        <f>+E4*4</f>
        <v>11.590909090909101</v>
      </c>
      <c r="K4" s="16">
        <f>+J4*2</f>
        <v>23.181818181818201</v>
      </c>
      <c r="M4" s="17" t="s">
        <v>41</v>
      </c>
      <c r="N4" s="18" t="s">
        <v>22</v>
      </c>
      <c r="O4" s="19" t="s">
        <v>48</v>
      </c>
      <c r="P4" s="20" t="s">
        <v>1</v>
      </c>
      <c r="Q4" s="21" t="s">
        <v>0</v>
      </c>
    </row>
    <row r="5" spans="3:18" ht="15" thickBot="1" x14ac:dyDescent="0.4">
      <c r="G5" s="22"/>
      <c r="M5" s="23">
        <v>16.64</v>
      </c>
      <c r="N5" s="24" t="s">
        <v>49</v>
      </c>
      <c r="O5" s="25">
        <f>F28</f>
        <v>173.90633333333332</v>
      </c>
      <c r="P5" s="26">
        <f>F29</f>
        <v>20.868759999999998</v>
      </c>
      <c r="Q5" s="27">
        <f>F30</f>
        <v>194.77509333333333</v>
      </c>
    </row>
    <row r="6" spans="3:18" ht="15" thickBot="1" x14ac:dyDescent="0.4">
      <c r="F6" s="28" t="s">
        <v>1</v>
      </c>
      <c r="G6" s="29">
        <f>+G4*0.12</f>
        <v>3.4772727272727302</v>
      </c>
      <c r="I6">
        <f>+G4/4</f>
        <v>7.2443181818181879</v>
      </c>
    </row>
    <row r="7" spans="3:18" ht="15" thickBot="1" x14ac:dyDescent="0.4">
      <c r="F7" s="28" t="s">
        <v>35</v>
      </c>
      <c r="G7" s="30">
        <f>+G4+G6</f>
        <v>32.454545454545482</v>
      </c>
      <c r="M7" s="31"/>
      <c r="N7" s="32"/>
      <c r="O7" s="33"/>
      <c r="P7" s="34"/>
      <c r="Q7" s="35"/>
    </row>
    <row r="10" spans="3:18" x14ac:dyDescent="0.35">
      <c r="G10" s="7">
        <f>G7+83.22</f>
        <v>115.67454545454548</v>
      </c>
    </row>
    <row r="13" spans="3:18" ht="15" thickBot="1" x14ac:dyDescent="0.4">
      <c r="H13" s="36" t="s">
        <v>50</v>
      </c>
      <c r="N13" s="36" t="s">
        <v>38</v>
      </c>
    </row>
    <row r="14" spans="3:18" ht="15" thickBot="1" x14ac:dyDescent="0.4">
      <c r="H14" s="37" t="s">
        <v>51</v>
      </c>
      <c r="I14" s="37" t="s">
        <v>52</v>
      </c>
      <c r="J14" s="38" t="s">
        <v>53</v>
      </c>
      <c r="K14" s="39" t="s">
        <v>22</v>
      </c>
      <c r="L14" s="38" t="s">
        <v>0</v>
      </c>
      <c r="N14" s="40" t="s">
        <v>38</v>
      </c>
      <c r="O14" s="41" t="s">
        <v>54</v>
      </c>
      <c r="P14" s="42" t="s">
        <v>55</v>
      </c>
      <c r="Q14" s="42" t="s">
        <v>0</v>
      </c>
      <c r="R14" s="43"/>
    </row>
    <row r="15" spans="3:18" ht="15" thickBot="1" x14ac:dyDescent="0.4">
      <c r="H15" s="44">
        <v>1000</v>
      </c>
      <c r="I15" s="44">
        <v>1</v>
      </c>
      <c r="J15" s="45">
        <v>36</v>
      </c>
      <c r="K15" s="44">
        <v>22</v>
      </c>
      <c r="L15" s="45">
        <f>((H15/J15)/K15)</f>
        <v>1.2626262626262628</v>
      </c>
      <c r="N15" s="46">
        <v>1</v>
      </c>
      <c r="O15" s="47">
        <v>517.20000000000005</v>
      </c>
      <c r="P15" s="48">
        <v>22</v>
      </c>
      <c r="Q15" s="49">
        <f>O15/P15</f>
        <v>23.509090909090911</v>
      </c>
    </row>
    <row r="16" spans="3:18" ht="15" thickBot="1" x14ac:dyDescent="0.4"/>
    <row r="17" spans="2:17" x14ac:dyDescent="0.35">
      <c r="H17" s="37" t="s">
        <v>56</v>
      </c>
      <c r="I17" s="37" t="s">
        <v>52</v>
      </c>
      <c r="J17" s="38" t="s">
        <v>53</v>
      </c>
      <c r="K17" s="39" t="s">
        <v>22</v>
      </c>
      <c r="L17" s="38" t="s">
        <v>0</v>
      </c>
      <c r="N17" s="50"/>
      <c r="O17" s="51"/>
      <c r="P17" s="52"/>
      <c r="Q17" s="53"/>
    </row>
    <row r="18" spans="2:17" x14ac:dyDescent="0.35">
      <c r="H18" s="44">
        <v>2000</v>
      </c>
      <c r="I18" s="44">
        <v>1</v>
      </c>
      <c r="J18" s="45">
        <v>36</v>
      </c>
      <c r="K18" s="44">
        <v>22</v>
      </c>
      <c r="L18" s="45">
        <f>((H18/J18)/K18)</f>
        <v>2.5252525252525255</v>
      </c>
    </row>
    <row r="19" spans="2:17" ht="15" thickBot="1" x14ac:dyDescent="0.4">
      <c r="N19" s="50"/>
      <c r="O19" s="52"/>
      <c r="P19" s="52"/>
      <c r="Q19" s="53"/>
    </row>
    <row r="20" spans="2:17" ht="15" thickBot="1" x14ac:dyDescent="0.4">
      <c r="C20" s="279" t="s">
        <v>39</v>
      </c>
      <c r="D20" s="280"/>
      <c r="E20" s="280"/>
      <c r="F20" s="281"/>
      <c r="H20" s="54" t="s">
        <v>57</v>
      </c>
      <c r="I20" s="55">
        <v>3.79</v>
      </c>
    </row>
    <row r="21" spans="2:17" ht="15" thickBot="1" x14ac:dyDescent="0.4">
      <c r="C21" s="56" t="s">
        <v>3</v>
      </c>
      <c r="D21" s="57" t="s">
        <v>56</v>
      </c>
      <c r="E21" s="57" t="s">
        <v>51</v>
      </c>
      <c r="F21" s="58" t="s">
        <v>0</v>
      </c>
      <c r="H21" s="59" t="s">
        <v>38</v>
      </c>
      <c r="I21" s="60">
        <f>Q15</f>
        <v>23.509090909090911</v>
      </c>
    </row>
    <row r="22" spans="2:17" ht="15" thickBot="1" x14ac:dyDescent="0.4">
      <c r="B22" s="61"/>
      <c r="C22" s="62" t="s">
        <v>57</v>
      </c>
      <c r="D22" s="63">
        <f>L18</f>
        <v>2.5252525252525255</v>
      </c>
      <c r="E22" s="64">
        <f>L15</f>
        <v>1.2626262626262628</v>
      </c>
      <c r="F22" s="65">
        <f>D22+E22</f>
        <v>3.7878787878787881</v>
      </c>
      <c r="H22" s="66" t="s">
        <v>58</v>
      </c>
      <c r="I22" s="55">
        <v>25</v>
      </c>
    </row>
    <row r="23" spans="2:17" ht="15.5" thickTop="1" thickBot="1" x14ac:dyDescent="0.4">
      <c r="C23" s="67" t="s">
        <v>38</v>
      </c>
      <c r="D23" s="6"/>
      <c r="E23" s="6"/>
      <c r="F23" s="68">
        <f>I21</f>
        <v>23.509090909090911</v>
      </c>
      <c r="H23" s="69" t="s">
        <v>33</v>
      </c>
      <c r="I23" s="60">
        <v>50</v>
      </c>
      <c r="J23" s="70" t="s">
        <v>59</v>
      </c>
      <c r="K23" s="71">
        <f>I24*J24</f>
        <v>51.149545454545454</v>
      </c>
    </row>
    <row r="24" spans="2:17" ht="15.5" thickTop="1" thickBot="1" x14ac:dyDescent="0.4">
      <c r="C24" s="67" t="s">
        <v>33</v>
      </c>
      <c r="D24" s="6"/>
      <c r="E24" s="6"/>
      <c r="F24" s="68">
        <v>50</v>
      </c>
      <c r="H24" s="72" t="s">
        <v>0</v>
      </c>
      <c r="I24" s="73">
        <f>SUM(I20:I23)</f>
        <v>102.29909090909091</v>
      </c>
      <c r="J24" s="74">
        <v>0.5</v>
      </c>
    </row>
    <row r="25" spans="2:17" ht="15.5" thickTop="1" thickBot="1" x14ac:dyDescent="0.4">
      <c r="C25" s="75" t="s">
        <v>58</v>
      </c>
      <c r="F25" s="76">
        <f>I22</f>
        <v>25</v>
      </c>
      <c r="J25" s="70" t="s">
        <v>60</v>
      </c>
      <c r="K25" s="71">
        <f>I24*J26</f>
        <v>20.459818181818182</v>
      </c>
    </row>
    <row r="26" spans="2:17" ht="15.5" thickTop="1" thickBot="1" x14ac:dyDescent="0.4">
      <c r="C26" s="77" t="s">
        <v>60</v>
      </c>
      <c r="D26" s="78">
        <f>+J26</f>
        <v>0.2</v>
      </c>
      <c r="F26" s="76">
        <f>+K25</f>
        <v>20.459818181818182</v>
      </c>
      <c r="J26" s="74">
        <v>0.2</v>
      </c>
    </row>
    <row r="27" spans="2:17" ht="15.5" thickTop="1" thickBot="1" x14ac:dyDescent="0.4">
      <c r="C27" s="79" t="s">
        <v>59</v>
      </c>
      <c r="D27" s="80">
        <f>+J24</f>
        <v>0.5</v>
      </c>
      <c r="E27" s="6"/>
      <c r="F27" s="3">
        <f>K23</f>
        <v>51.149545454545454</v>
      </c>
    </row>
    <row r="28" spans="2:17" x14ac:dyDescent="0.35">
      <c r="C28" s="1"/>
      <c r="D28" s="1"/>
      <c r="E28" s="4" t="s">
        <v>2</v>
      </c>
      <c r="F28" s="3">
        <f>SUM(F22:F27)</f>
        <v>173.90633333333332</v>
      </c>
    </row>
    <row r="29" spans="2:17" ht="15" thickBot="1" x14ac:dyDescent="0.4">
      <c r="C29" s="1"/>
      <c r="D29" s="1"/>
      <c r="E29" s="4" t="s">
        <v>1</v>
      </c>
      <c r="F29" s="3">
        <f>F28*12%</f>
        <v>20.868759999999998</v>
      </c>
    </row>
    <row r="30" spans="2:17" ht="15" thickBot="1" x14ac:dyDescent="0.4">
      <c r="C30" s="2"/>
      <c r="D30" s="1"/>
      <c r="E30" s="5" t="s">
        <v>0</v>
      </c>
      <c r="F30" s="81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18" workbookViewId="0"/>
  </sheetViews>
  <sheetFormatPr baseColWidth="10" defaultRowHeight="14.5" x14ac:dyDescent="0.3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Analisis Costo Digitalización</vt:lpstr>
      <vt:lpstr>Analisis de Costo Radicación </vt:lpstr>
      <vt:lpstr>Rendimiento Samsung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Santiago Gómez</cp:lastModifiedBy>
  <cp:lastPrinted>2015-12-23T20:01:33Z</cp:lastPrinted>
  <dcterms:created xsi:type="dcterms:W3CDTF">2009-04-21T01:08:50Z</dcterms:created>
  <dcterms:modified xsi:type="dcterms:W3CDTF">2017-11-29T14:59:09Z</dcterms:modified>
</cp:coreProperties>
</file>